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l2910\Desktop\"/>
    </mc:Choice>
  </mc:AlternateContent>
  <bookViews>
    <workbookView xWindow="-4632" yWindow="1140" windowWidth="28512" windowHeight="11448" activeTab="1"/>
  </bookViews>
  <sheets>
    <sheet name="Oppslag" sheetId="6" r:id="rId1"/>
    <sheet name="FAKTAARK" sheetId="5" r:id="rId2"/>
    <sheet name="Kommunedata" sheetId="4" state="hidden" r:id="rId3"/>
    <sheet name="Bef.prognose" sheetId="9" state="hidden" r:id="rId4"/>
    <sheet name="Øk. nøkkeltall" sheetId="10" state="hidden" r:id="rId5"/>
    <sheet name="Fordeling netto driftsutg." sheetId="11" state="hidden" r:id="rId6"/>
    <sheet name="Pleie og omsorg" sheetId="14" state="hidden" r:id="rId7"/>
    <sheet name="Sosialtj." sheetId="16" state="hidden" r:id="rId8"/>
    <sheet name="Barnevern" sheetId="15" state="hidden" r:id="rId9"/>
    <sheet name="Grunnskole" sheetId="13" state="hidden" r:id="rId10"/>
    <sheet name="BHG" sheetId="12" state="hidden" r:id="rId11"/>
    <sheet name="Bef.utv." sheetId="3" state="hidden" r:id="rId12"/>
    <sheet name="Kommunegrupper" sheetId="2" state="hidden" r:id="rId13"/>
    <sheet name="Inntekter, årsverk, areal" sheetId="7" state="hidden" r:id="rId14"/>
    <sheet name="Behov" sheetId="8" state="hidden" r:id="rId15"/>
  </sheets>
  <calcPr calcId="152511"/>
</workbook>
</file>

<file path=xl/calcChain.xml><?xml version="1.0" encoding="utf-8"?>
<calcChain xmlns="http://schemas.openxmlformats.org/spreadsheetml/2006/main">
  <c r="B50" i="6" l="1"/>
  <c r="I103" i="7" l="1"/>
  <c r="I102" i="7"/>
  <c r="I101" i="7"/>
  <c r="I100" i="7"/>
  <c r="I99" i="7"/>
  <c r="I98" i="7"/>
  <c r="I97" i="7"/>
  <c r="I96" i="7"/>
  <c r="I95" i="7"/>
  <c r="I94" i="7"/>
  <c r="I93" i="7"/>
  <c r="I92" i="7"/>
  <c r="I91" i="7"/>
  <c r="I90" i="7"/>
  <c r="I89" i="7"/>
  <c r="I88" i="7"/>
  <c r="I87" i="7"/>
  <c r="I86" i="7"/>
  <c r="I85" i="7"/>
  <c r="I84" i="7"/>
  <c r="I83" i="7"/>
  <c r="I82" i="7"/>
  <c r="I81" i="7"/>
  <c r="I80" i="7"/>
  <c r="I79" i="7"/>
  <c r="I78" i="7"/>
  <c r="I77" i="7"/>
  <c r="I76" i="7"/>
  <c r="I75" i="7"/>
  <c r="I74" i="7"/>
  <c r="I73" i="7"/>
  <c r="I72" i="7"/>
  <c r="I71" i="7"/>
  <c r="I70" i="7"/>
  <c r="I69" i="7"/>
  <c r="J105" i="4" l="1"/>
  <c r="J104" i="4"/>
  <c r="I105" i="4"/>
  <c r="I104" i="4"/>
  <c r="H105" i="4"/>
  <c r="D24" i="5" s="1"/>
  <c r="H104" i="4"/>
  <c r="C24" i="5" s="1"/>
  <c r="G105" i="4"/>
  <c r="D23" i="5" s="1"/>
  <c r="G104" i="4"/>
  <c r="C23" i="5" s="1"/>
  <c r="F105" i="4"/>
  <c r="D22" i="5" s="1"/>
  <c r="F104" i="4"/>
  <c r="C22" i="5" s="1"/>
  <c r="E105" i="4"/>
  <c r="D21" i="5" s="1"/>
  <c r="E104" i="4"/>
  <c r="C21" i="5" s="1"/>
  <c r="D105" i="4"/>
  <c r="D20" i="5" s="1"/>
  <c r="D104" i="4"/>
  <c r="C20" i="5" s="1"/>
  <c r="C105" i="4"/>
  <c r="D19" i="5" s="1"/>
  <c r="C104" i="4"/>
  <c r="C19" i="5" s="1"/>
  <c r="B105" i="4"/>
  <c r="D18" i="5" s="1"/>
  <c r="B104" i="4"/>
  <c r="C18" i="5" s="1"/>
  <c r="J102" i="4"/>
  <c r="I102" i="4"/>
  <c r="H102" i="4"/>
  <c r="G102" i="4"/>
  <c r="F102" i="4"/>
  <c r="E102" i="4"/>
  <c r="D102" i="4"/>
  <c r="C102" i="4"/>
  <c r="B102" i="4"/>
  <c r="A3" i="4"/>
  <c r="G103" i="4" s="1"/>
  <c r="B23" i="5" s="1"/>
  <c r="A105" i="4"/>
  <c r="D17" i="5" s="1"/>
  <c r="A104" i="4"/>
  <c r="C17" i="5" s="1"/>
  <c r="A122" i="4"/>
  <c r="A121" i="4"/>
  <c r="O67" i="7"/>
  <c r="O66" i="7"/>
  <c r="O65" i="7"/>
  <c r="O64" i="7"/>
  <c r="O63" i="7"/>
  <c r="O62" i="7"/>
  <c r="O61" i="7"/>
  <c r="O60" i="7"/>
  <c r="O59" i="7"/>
  <c r="O58" i="7"/>
  <c r="O57" i="7"/>
  <c r="O56" i="7"/>
  <c r="O55" i="7"/>
  <c r="O54" i="7"/>
  <c r="O53" i="7"/>
  <c r="O52" i="7"/>
  <c r="O51" i="7"/>
  <c r="O50" i="7"/>
  <c r="O49" i="7"/>
  <c r="O48" i="7"/>
  <c r="O47" i="7"/>
  <c r="O46" i="7"/>
  <c r="O45" i="7"/>
  <c r="O44" i="7"/>
  <c r="O43" i="7"/>
  <c r="O42" i="7"/>
  <c r="O41" i="7"/>
  <c r="O40" i="7"/>
  <c r="O39" i="7"/>
  <c r="O38" i="7"/>
  <c r="O37" i="7"/>
  <c r="O36" i="7"/>
  <c r="O35" i="7"/>
  <c r="O34" i="7"/>
  <c r="O33" i="7"/>
  <c r="C26" i="7"/>
  <c r="G130" i="4"/>
  <c r="E141" i="5" s="1"/>
  <c r="G129" i="4"/>
  <c r="E140" i="5"/>
  <c r="G127" i="4"/>
  <c r="E138" i="5" s="1"/>
  <c r="F130" i="4"/>
  <c r="F141" i="5"/>
  <c r="F129" i="4"/>
  <c r="F140" i="5" s="1"/>
  <c r="F127" i="4"/>
  <c r="F138" i="5"/>
  <c r="I111" i="4"/>
  <c r="I112" i="4"/>
  <c r="H111" i="4"/>
  <c r="H112" i="4"/>
  <c r="G111" i="4"/>
  <c r="G112" i="4"/>
  <c r="H79" i="4"/>
  <c r="H78" i="4"/>
  <c r="G79" i="4"/>
  <c r="G78" i="4"/>
  <c r="F79" i="4"/>
  <c r="F78" i="4"/>
  <c r="E79" i="4"/>
  <c r="E78" i="4"/>
  <c r="D79" i="4"/>
  <c r="D78" i="4"/>
  <c r="C79" i="4"/>
  <c r="C78" i="4"/>
  <c r="H96" i="4"/>
  <c r="H95" i="4"/>
  <c r="G96" i="4"/>
  <c r="G95" i="4"/>
  <c r="F96" i="4"/>
  <c r="F95" i="4"/>
  <c r="E96" i="4"/>
  <c r="E95" i="4"/>
  <c r="D96" i="4"/>
  <c r="D95" i="4"/>
  <c r="C96" i="4"/>
  <c r="C95" i="4"/>
  <c r="F112" i="4"/>
  <c r="F111" i="4"/>
  <c r="E112" i="4"/>
  <c r="E111" i="4"/>
  <c r="D112" i="4"/>
  <c r="D111" i="4"/>
  <c r="C112" i="4"/>
  <c r="C111" i="4"/>
  <c r="I96" i="4"/>
  <c r="I95" i="4"/>
  <c r="I88" i="4"/>
  <c r="I87" i="4"/>
  <c r="I79" i="4"/>
  <c r="I78" i="4"/>
  <c r="I71" i="4"/>
  <c r="I70" i="4"/>
  <c r="G154" i="4"/>
  <c r="F165" i="5" s="1"/>
  <c r="G153" i="4"/>
  <c r="F164" i="5" s="1"/>
  <c r="F154" i="4"/>
  <c r="E165" i="5" s="1"/>
  <c r="F153" i="4"/>
  <c r="E164" i="5" s="1"/>
  <c r="N27" i="4"/>
  <c r="M27" i="4"/>
  <c r="L27" i="4"/>
  <c r="K27" i="4"/>
  <c r="J27" i="4"/>
  <c r="I27" i="4"/>
  <c r="H27" i="4"/>
  <c r="G27" i="4"/>
  <c r="F27" i="4"/>
  <c r="E27" i="4"/>
  <c r="D27" i="4"/>
  <c r="C27" i="4"/>
  <c r="O31" i="3"/>
  <c r="N31" i="3"/>
  <c r="M3" i="7"/>
  <c r="O37" i="11"/>
  <c r="U37" i="11"/>
  <c r="O3" i="11"/>
  <c r="O4" i="11"/>
  <c r="O5" i="11"/>
  <c r="O6" i="11"/>
  <c r="O7" i="11"/>
  <c r="O8" i="11"/>
  <c r="O9" i="11"/>
  <c r="O10" i="11"/>
  <c r="O11" i="11"/>
  <c r="O12" i="11"/>
  <c r="O13" i="11"/>
  <c r="O14" i="11"/>
  <c r="O15" i="11"/>
  <c r="O16" i="11"/>
  <c r="O17" i="11"/>
  <c r="O18" i="11"/>
  <c r="O19" i="11"/>
  <c r="O20" i="11"/>
  <c r="O21" i="11"/>
  <c r="O22" i="11"/>
  <c r="O23" i="11"/>
  <c r="O24" i="11"/>
  <c r="O25" i="11"/>
  <c r="O26" i="11"/>
  <c r="O27" i="11"/>
  <c r="U27" i="11"/>
  <c r="O28" i="11"/>
  <c r="O29" i="11"/>
  <c r="O30" i="11"/>
  <c r="O32" i="11"/>
  <c r="O33" i="11"/>
  <c r="O34" i="11"/>
  <c r="O35" i="11"/>
  <c r="O36" i="11"/>
  <c r="F101" i="9"/>
  <c r="E101" i="9"/>
  <c r="D101" i="9"/>
  <c r="I101" i="9"/>
  <c r="H101" i="9"/>
  <c r="G101" i="9"/>
  <c r="N3" i="7"/>
  <c r="H70" i="4"/>
  <c r="G70" i="4"/>
  <c r="F70" i="4"/>
  <c r="E70" i="4"/>
  <c r="D70" i="4"/>
  <c r="C70" i="4"/>
  <c r="H88" i="4"/>
  <c r="H87" i="4"/>
  <c r="H71" i="4"/>
  <c r="G71" i="4"/>
  <c r="F71" i="4"/>
  <c r="E71" i="4"/>
  <c r="D71" i="4"/>
  <c r="C71" i="4"/>
  <c r="D27" i="5"/>
  <c r="C27" i="5"/>
  <c r="U25" i="11"/>
  <c r="U24" i="11"/>
  <c r="U23" i="11"/>
  <c r="U22" i="11"/>
  <c r="U21" i="11"/>
  <c r="U20" i="11"/>
  <c r="U19" i="11"/>
  <c r="U18" i="11"/>
  <c r="U17" i="11"/>
  <c r="U16" i="11"/>
  <c r="U15" i="11"/>
  <c r="U14" i="11"/>
  <c r="U13" i="11"/>
  <c r="U12" i="11"/>
  <c r="U11" i="11"/>
  <c r="U10" i="11"/>
  <c r="U9" i="11"/>
  <c r="U8" i="11"/>
  <c r="U7" i="11"/>
  <c r="U6" i="11"/>
  <c r="U5" i="11"/>
  <c r="U4" i="11"/>
  <c r="U3" i="11"/>
  <c r="U26" i="11"/>
  <c r="M31" i="3"/>
  <c r="K28" i="2"/>
  <c r="L28" i="2"/>
  <c r="M28" i="2"/>
  <c r="N28" i="2"/>
  <c r="O28" i="2"/>
  <c r="P28" i="2"/>
  <c r="Q28" i="2"/>
  <c r="R28" i="2"/>
  <c r="S28" i="2"/>
  <c r="T28" i="2"/>
  <c r="J28" i="2"/>
  <c r="U5" i="2"/>
  <c r="G88" i="4"/>
  <c r="G87" i="4"/>
  <c r="J122" i="4"/>
  <c r="D35" i="5"/>
  <c r="I122" i="4"/>
  <c r="D34" i="5"/>
  <c r="H122" i="4"/>
  <c r="D33" i="5" s="1"/>
  <c r="G122" i="4"/>
  <c r="D32" i="5"/>
  <c r="F122" i="4"/>
  <c r="D31" i="5"/>
  <c r="E122" i="4"/>
  <c r="D122" i="4"/>
  <c r="D30" i="5"/>
  <c r="C122" i="4"/>
  <c r="D29" i="5" s="1"/>
  <c r="B122" i="4"/>
  <c r="D28" i="5"/>
  <c r="J121" i="4"/>
  <c r="C35" i="5"/>
  <c r="I121" i="4"/>
  <c r="C34" i="5" s="1"/>
  <c r="H121" i="4"/>
  <c r="C33" i="5"/>
  <c r="G121" i="4"/>
  <c r="C32" i="5"/>
  <c r="F121" i="4"/>
  <c r="C31" i="5" s="1"/>
  <c r="E121" i="4"/>
  <c r="D121" i="4"/>
  <c r="C30" i="5" s="1"/>
  <c r="C121" i="4"/>
  <c r="C29" i="5"/>
  <c r="B121" i="4"/>
  <c r="C28" i="5"/>
  <c r="F162" i="4"/>
  <c r="E171" i="5" s="1"/>
  <c r="E162" i="4"/>
  <c r="D171" i="5" s="1"/>
  <c r="D162" i="4"/>
  <c r="C171" i="5" s="1"/>
  <c r="C162" i="4"/>
  <c r="B171" i="5" s="1"/>
  <c r="F161" i="4"/>
  <c r="E170" i="5" s="1"/>
  <c r="E161" i="4"/>
  <c r="D170" i="5" s="1"/>
  <c r="D161" i="4"/>
  <c r="C170" i="5" s="1"/>
  <c r="C161" i="4"/>
  <c r="B170" i="5" s="1"/>
  <c r="D159" i="4"/>
  <c r="C168" i="5"/>
  <c r="E159" i="4"/>
  <c r="D168" i="5" s="1"/>
  <c r="F159" i="4"/>
  <c r="E168" i="5"/>
  <c r="C159" i="4"/>
  <c r="B168" i="5"/>
  <c r="B161" i="4"/>
  <c r="A170" i="5" s="1"/>
  <c r="B162" i="4"/>
  <c r="A171" i="5"/>
  <c r="E154" i="4"/>
  <c r="D165" i="5" s="1"/>
  <c r="D154" i="4"/>
  <c r="C165" i="5" s="1"/>
  <c r="E153" i="4"/>
  <c r="D164" i="5" s="1"/>
  <c r="D153" i="4"/>
  <c r="C164" i="5" s="1"/>
  <c r="C154" i="4"/>
  <c r="B165" i="5" s="1"/>
  <c r="C153" i="4"/>
  <c r="B164" i="5" s="1"/>
  <c r="F151" i="4"/>
  <c r="E162" i="5" s="1"/>
  <c r="D151" i="4"/>
  <c r="C162" i="5" s="1"/>
  <c r="E151" i="4"/>
  <c r="D162" i="5" s="1"/>
  <c r="C151" i="4"/>
  <c r="B162" i="5" s="1"/>
  <c r="B154" i="4"/>
  <c r="A165" i="5"/>
  <c r="B153" i="4"/>
  <c r="A164" i="5" s="1"/>
  <c r="K146" i="4"/>
  <c r="E159" i="5" s="1"/>
  <c r="J146" i="4"/>
  <c r="D159" i="5" s="1"/>
  <c r="I146" i="4"/>
  <c r="C159" i="5" s="1"/>
  <c r="H146" i="4"/>
  <c r="B159" i="5" s="1"/>
  <c r="G146" i="4"/>
  <c r="F153" i="5" s="1"/>
  <c r="F146" i="4"/>
  <c r="E153" i="5" s="1"/>
  <c r="E146" i="4"/>
  <c r="D153" i="5" s="1"/>
  <c r="D146" i="4"/>
  <c r="C153" i="5" s="1"/>
  <c r="C146" i="4"/>
  <c r="B153" i="5" s="1"/>
  <c r="K145" i="4"/>
  <c r="E158" i="5" s="1"/>
  <c r="J145" i="4"/>
  <c r="D158" i="5" s="1"/>
  <c r="I145" i="4"/>
  <c r="C158" i="5" s="1"/>
  <c r="H145" i="4"/>
  <c r="B158" i="5" s="1"/>
  <c r="G145" i="4"/>
  <c r="F152" i="5" s="1"/>
  <c r="F145" i="4"/>
  <c r="E152" i="5" s="1"/>
  <c r="E145" i="4"/>
  <c r="D152" i="5" s="1"/>
  <c r="D145" i="4"/>
  <c r="C152" i="5" s="1"/>
  <c r="C145" i="4"/>
  <c r="B152" i="5" s="1"/>
  <c r="K143" i="4"/>
  <c r="E156" i="5"/>
  <c r="D143" i="4"/>
  <c r="C150" i="5"/>
  <c r="E143" i="4"/>
  <c r="D150" i="5" s="1"/>
  <c r="F143" i="4"/>
  <c r="E150" i="5"/>
  <c r="G143" i="4"/>
  <c r="F150" i="5"/>
  <c r="H143" i="4"/>
  <c r="B156" i="5" s="1"/>
  <c r="I143" i="4"/>
  <c r="C156" i="5"/>
  <c r="J143" i="4"/>
  <c r="D156" i="5"/>
  <c r="C143" i="4"/>
  <c r="B150" i="5" s="1"/>
  <c r="B146" i="4"/>
  <c r="A159" i="5" s="1"/>
  <c r="B145" i="4"/>
  <c r="A158" i="5" s="1"/>
  <c r="H138" i="4"/>
  <c r="F147" i="5"/>
  <c r="G138" i="4"/>
  <c r="F138" i="4"/>
  <c r="E147" i="5"/>
  <c r="E138" i="4"/>
  <c r="D147" i="5" s="1"/>
  <c r="D138" i="4"/>
  <c r="C147" i="5"/>
  <c r="C138" i="4"/>
  <c r="B147" i="5" s="1"/>
  <c r="H137" i="4"/>
  <c r="F146" i="5" s="1"/>
  <c r="G137" i="4"/>
  <c r="F137" i="4"/>
  <c r="E146" i="5" s="1"/>
  <c r="E137" i="4"/>
  <c r="D146" i="5"/>
  <c r="D137" i="4"/>
  <c r="C146" i="5" s="1"/>
  <c r="C137" i="4"/>
  <c r="B146" i="5"/>
  <c r="H135" i="4"/>
  <c r="F144" i="5" s="1"/>
  <c r="D135" i="4"/>
  <c r="C144" i="5" s="1"/>
  <c r="E135" i="4"/>
  <c r="D144" i="5"/>
  <c r="F135" i="4"/>
  <c r="E144" i="5" s="1"/>
  <c r="G135" i="4"/>
  <c r="C135" i="4"/>
  <c r="B144" i="5" s="1"/>
  <c r="B138" i="4"/>
  <c r="A147" i="5" s="1"/>
  <c r="B137" i="4"/>
  <c r="A146" i="5"/>
  <c r="E130" i="4"/>
  <c r="D141" i="5" s="1"/>
  <c r="D130" i="4"/>
  <c r="C141" i="5" s="1"/>
  <c r="C130" i="4"/>
  <c r="B141" i="5"/>
  <c r="E129" i="4"/>
  <c r="D140" i="5" s="1"/>
  <c r="D129" i="4"/>
  <c r="C140" i="5" s="1"/>
  <c r="C129" i="4"/>
  <c r="B140" i="5" s="1"/>
  <c r="E127" i="4"/>
  <c r="D138" i="5" s="1"/>
  <c r="D127" i="4"/>
  <c r="C138" i="5"/>
  <c r="C127" i="4"/>
  <c r="B138" i="5" s="1"/>
  <c r="B130" i="4"/>
  <c r="A141" i="5" s="1"/>
  <c r="B129" i="4"/>
  <c r="A140" i="5"/>
  <c r="A152" i="5"/>
  <c r="A153" i="5"/>
  <c r="E32" i="4"/>
  <c r="D47" i="5" s="1"/>
  <c r="D32" i="4"/>
  <c r="C47" i="5"/>
  <c r="U28" i="11"/>
  <c r="U29" i="11"/>
  <c r="U30" i="11"/>
  <c r="U32" i="11"/>
  <c r="U33" i="11"/>
  <c r="U34" i="11"/>
  <c r="U35" i="11"/>
  <c r="U36" i="11"/>
  <c r="U60" i="11"/>
  <c r="K122" i="4"/>
  <c r="D36" i="5" s="1"/>
  <c r="O60" i="11"/>
  <c r="K119" i="4"/>
  <c r="A36" i="5" s="1"/>
  <c r="J119" i="4"/>
  <c r="A35" i="5" s="1"/>
  <c r="I119" i="4"/>
  <c r="A34" i="5"/>
  <c r="C119" i="4"/>
  <c r="A29" i="5" s="1"/>
  <c r="D119" i="4"/>
  <c r="A30" i="5" s="1"/>
  <c r="E119" i="4"/>
  <c r="F119" i="4"/>
  <c r="A31" i="5" s="1"/>
  <c r="G119" i="4"/>
  <c r="A32" i="5"/>
  <c r="H119" i="4"/>
  <c r="A33" i="5" s="1"/>
  <c r="B119" i="4"/>
  <c r="A28" i="5" s="1"/>
  <c r="A56" i="5"/>
  <c r="A57" i="5"/>
  <c r="A58" i="5"/>
  <c r="A59" i="5"/>
  <c r="A60" i="5"/>
  <c r="A61" i="5"/>
  <c r="A62" i="5"/>
  <c r="E41" i="4"/>
  <c r="D41" i="4"/>
  <c r="E48" i="4"/>
  <c r="D62" i="5"/>
  <c r="E47" i="4"/>
  <c r="D61" i="5" s="1"/>
  <c r="E46" i="4"/>
  <c r="D60" i="5" s="1"/>
  <c r="E45" i="4"/>
  <c r="D59" i="5"/>
  <c r="E44" i="4"/>
  <c r="D58" i="5" s="1"/>
  <c r="E43" i="4"/>
  <c r="D57" i="5" s="1"/>
  <c r="E42" i="4"/>
  <c r="D56" i="5"/>
  <c r="D48" i="4"/>
  <c r="C62" i="5" s="1"/>
  <c r="D47" i="4"/>
  <c r="C61" i="5" s="1"/>
  <c r="D46" i="4"/>
  <c r="C60" i="5"/>
  <c r="D45" i="4"/>
  <c r="C59" i="5" s="1"/>
  <c r="D44" i="4"/>
  <c r="C58" i="5" s="1"/>
  <c r="D43" i="4"/>
  <c r="C57" i="5"/>
  <c r="D42" i="4"/>
  <c r="C56" i="5" s="1"/>
  <c r="B112" i="4"/>
  <c r="B111" i="4"/>
  <c r="F88" i="4"/>
  <c r="E88" i="4"/>
  <c r="D88" i="4"/>
  <c r="C88" i="4"/>
  <c r="F87" i="4"/>
  <c r="E87" i="4"/>
  <c r="D87" i="4"/>
  <c r="C87" i="4"/>
  <c r="B96" i="4"/>
  <c r="B95" i="4"/>
  <c r="K121" i="4"/>
  <c r="C36" i="5" s="1"/>
  <c r="B88" i="4"/>
  <c r="B87" i="4"/>
  <c r="B79" i="4"/>
  <c r="B78" i="4"/>
  <c r="B71" i="4"/>
  <c r="B70" i="4"/>
  <c r="L120" i="4"/>
  <c r="E33" i="4"/>
  <c r="D48" i="5" s="1"/>
  <c r="E40" i="4"/>
  <c r="D55" i="5"/>
  <c r="E39" i="4"/>
  <c r="D54" i="5" s="1"/>
  <c r="E38" i="4"/>
  <c r="D53" i="5" s="1"/>
  <c r="E37" i="4"/>
  <c r="D52" i="5"/>
  <c r="E36" i="4"/>
  <c r="D51" i="5" s="1"/>
  <c r="E35" i="4"/>
  <c r="D50" i="5" s="1"/>
  <c r="E34" i="4"/>
  <c r="D49" i="5"/>
  <c r="E31" i="4"/>
  <c r="D46" i="5" s="1"/>
  <c r="D31" i="4"/>
  <c r="C46" i="5" s="1"/>
  <c r="D40" i="4"/>
  <c r="C55" i="5"/>
  <c r="D39" i="4"/>
  <c r="C54" i="5" s="1"/>
  <c r="D38" i="4"/>
  <c r="C53" i="5" s="1"/>
  <c r="D37" i="4"/>
  <c r="C52" i="5"/>
  <c r="D36" i="4"/>
  <c r="C51" i="5" s="1"/>
  <c r="D35" i="4"/>
  <c r="C50" i="5" s="1"/>
  <c r="D34" i="4"/>
  <c r="C49" i="5"/>
  <c r="D33" i="4"/>
  <c r="C48" i="5" s="1"/>
  <c r="B27" i="4"/>
  <c r="M2" i="7"/>
  <c r="N2" i="7" s="1"/>
  <c r="M4" i="7"/>
  <c r="N4" i="7" s="1"/>
  <c r="M5" i="7"/>
  <c r="N5" i="7"/>
  <c r="M6" i="7"/>
  <c r="N6" i="7" s="1"/>
  <c r="M7" i="7"/>
  <c r="N7" i="7" s="1"/>
  <c r="M8" i="7"/>
  <c r="N8" i="7"/>
  <c r="M9" i="7"/>
  <c r="N9" i="7" s="1"/>
  <c r="M10" i="7"/>
  <c r="N10" i="7" s="1"/>
  <c r="M11" i="7"/>
  <c r="N11" i="7"/>
  <c r="M12" i="7"/>
  <c r="N12" i="7" s="1"/>
  <c r="M13" i="7"/>
  <c r="N13" i="7" s="1"/>
  <c r="M14" i="7"/>
  <c r="N14" i="7"/>
  <c r="M15" i="7"/>
  <c r="N15" i="7" s="1"/>
  <c r="M16" i="7"/>
  <c r="N16" i="7" s="1"/>
  <c r="M17" i="7"/>
  <c r="N17" i="7"/>
  <c r="M18" i="7"/>
  <c r="N18" i="7" s="1"/>
  <c r="M19" i="7"/>
  <c r="N19" i="7" s="1"/>
  <c r="M20" i="7"/>
  <c r="N20" i="7"/>
  <c r="M21" i="7"/>
  <c r="N21" i="7" s="1"/>
  <c r="M22" i="7"/>
  <c r="N22" i="7" s="1"/>
  <c r="M23" i="7"/>
  <c r="N23" i="7"/>
  <c r="M24" i="7"/>
  <c r="N24" i="7" s="1"/>
  <c r="M25" i="7"/>
  <c r="N25" i="7" s="1"/>
  <c r="C14" i="4"/>
  <c r="D14" i="4"/>
  <c r="E14" i="4"/>
  <c r="F14" i="4"/>
  <c r="G14" i="4"/>
  <c r="H14" i="4"/>
  <c r="I14" i="4"/>
  <c r="J14" i="4"/>
  <c r="K14" i="4"/>
  <c r="L14" i="4"/>
  <c r="B14" i="4"/>
  <c r="D31" i="3"/>
  <c r="E31" i="3"/>
  <c r="F31" i="3"/>
  <c r="G31" i="3"/>
  <c r="H31" i="3"/>
  <c r="I31" i="3"/>
  <c r="J31" i="3"/>
  <c r="K31" i="3"/>
  <c r="U4" i="2"/>
  <c r="U6" i="2"/>
  <c r="U7" i="2"/>
  <c r="U8" i="2"/>
  <c r="U9" i="2"/>
  <c r="U10" i="2"/>
  <c r="U11" i="2"/>
  <c r="U12" i="2"/>
  <c r="U13" i="2"/>
  <c r="U14" i="2"/>
  <c r="U15" i="2"/>
  <c r="U16" i="2"/>
  <c r="U17" i="2"/>
  <c r="U18" i="2"/>
  <c r="U19" i="2"/>
  <c r="U20" i="2"/>
  <c r="U21" i="2"/>
  <c r="U22" i="2"/>
  <c r="U23" i="2"/>
  <c r="U24" i="2"/>
  <c r="U25" i="2"/>
  <c r="U26" i="2"/>
  <c r="U27" i="2"/>
  <c r="U3" i="2"/>
  <c r="U28" i="2" l="1"/>
  <c r="G94" i="4"/>
  <c r="E28" i="4"/>
  <c r="C40" i="4"/>
  <c r="B55" i="5" s="1"/>
  <c r="B18" i="4"/>
  <c r="B8" i="5" s="1"/>
  <c r="H144" i="4"/>
  <c r="B157" i="5" s="1"/>
  <c r="F120" i="4"/>
  <c r="B31" i="5" s="1"/>
  <c r="J15" i="4"/>
  <c r="J41" i="4"/>
  <c r="H56" i="4"/>
  <c r="C9" i="4"/>
  <c r="E56" i="4"/>
  <c r="G15" i="4"/>
  <c r="E86" i="4"/>
  <c r="C136" i="4"/>
  <c r="B145" i="5" s="1"/>
  <c r="L28" i="4"/>
  <c r="I86" i="4"/>
  <c r="C8" i="4"/>
  <c r="H15" i="4"/>
  <c r="C36" i="4"/>
  <c r="B51" i="5" s="1"/>
  <c r="F86" i="4"/>
  <c r="G120" i="4"/>
  <c r="B32" i="5" s="1"/>
  <c r="C32" i="4"/>
  <c r="B47" i="5" s="1"/>
  <c r="D58" i="4"/>
  <c r="H57" i="4"/>
  <c r="J28" i="4"/>
  <c r="E94" i="4"/>
  <c r="B23" i="4"/>
  <c r="B13" i="5" s="1"/>
  <c r="B25" i="4"/>
  <c r="E11" i="5" s="1"/>
  <c r="I103" i="4"/>
  <c r="B10" i="4"/>
  <c r="C37" i="4"/>
  <c r="B52" i="5" s="1"/>
  <c r="H120" i="4"/>
  <c r="B33" i="5" s="1"/>
  <c r="E57" i="4"/>
  <c r="G77" i="4"/>
  <c r="F131" i="5" s="1"/>
  <c r="B15" i="4"/>
  <c r="I15" i="4"/>
  <c r="C33" i="4"/>
  <c r="B48" i="5" s="1"/>
  <c r="D69" i="4"/>
  <c r="E120" i="4"/>
  <c r="K120" i="4"/>
  <c r="B36" i="5" s="1"/>
  <c r="D160" i="4"/>
  <c r="C169" i="5" s="1"/>
  <c r="F56" i="4"/>
  <c r="M28" i="4"/>
  <c r="C110" i="4"/>
  <c r="I77" i="4"/>
  <c r="F133" i="5" s="1"/>
  <c r="B24" i="4"/>
  <c r="B14" i="5" s="1"/>
  <c r="C103" i="4"/>
  <c r="B19" i="5" s="1"/>
  <c r="B8" i="4"/>
  <c r="F15" i="4"/>
  <c r="E15" i="4"/>
  <c r="L15" i="4"/>
  <c r="B20" i="4"/>
  <c r="B10" i="5" s="1"/>
  <c r="E69" i="4"/>
  <c r="J37" i="4"/>
  <c r="J38" i="4"/>
  <c r="D120" i="4"/>
  <c r="B30" i="5" s="1"/>
  <c r="I120" i="4"/>
  <c r="B34" i="5" s="1"/>
  <c r="D144" i="4"/>
  <c r="C151" i="5" s="1"/>
  <c r="G86" i="4"/>
  <c r="C56" i="4"/>
  <c r="D59" i="4"/>
  <c r="H86" i="4"/>
  <c r="G58" i="4"/>
  <c r="C28" i="4"/>
  <c r="G152" i="4"/>
  <c r="F163" i="5" s="1"/>
  <c r="C94" i="4"/>
  <c r="E77" i="4"/>
  <c r="I110" i="4"/>
  <c r="E133" i="5" s="1"/>
  <c r="B22" i="4"/>
  <c r="E10" i="5" s="1"/>
  <c r="B103" i="4"/>
  <c r="B18" i="5" s="1"/>
  <c r="A6" i="4"/>
  <c r="J103" i="4"/>
  <c r="F103" i="4"/>
  <c r="B22" i="5" s="1"/>
  <c r="G128" i="4"/>
  <c r="E139" i="5" s="1"/>
  <c r="B19" i="4"/>
  <c r="B9" i="5" s="1"/>
  <c r="F77" i="4"/>
  <c r="H94" i="4"/>
  <c r="D94" i="4"/>
  <c r="D110" i="4"/>
  <c r="I69" i="4"/>
  <c r="N28" i="4"/>
  <c r="K28" i="4"/>
  <c r="H28" i="4"/>
  <c r="H59" i="4"/>
  <c r="F58" i="4"/>
  <c r="G56" i="4"/>
  <c r="G57" i="4"/>
  <c r="C59" i="4"/>
  <c r="E58" i="4"/>
  <c r="D56" i="4"/>
  <c r="D8" i="4"/>
  <c r="B2" i="5"/>
  <c r="D152" i="4"/>
  <c r="C163" i="5" s="1"/>
  <c r="I144" i="4"/>
  <c r="C157" i="5" s="1"/>
  <c r="E144" i="4"/>
  <c r="D151" i="5" s="1"/>
  <c r="H136" i="4"/>
  <c r="F145" i="5" s="1"/>
  <c r="D136" i="4"/>
  <c r="C145" i="5" s="1"/>
  <c r="C128" i="4"/>
  <c r="B139" i="5" s="1"/>
  <c r="C152" i="4"/>
  <c r="B163" i="5" s="1"/>
  <c r="E160" i="4"/>
  <c r="D169" i="5" s="1"/>
  <c r="J144" i="4"/>
  <c r="D157" i="5" s="1"/>
  <c r="G136" i="4"/>
  <c r="C120" i="4"/>
  <c r="B29" i="5" s="1"/>
  <c r="C45" i="4"/>
  <c r="B59" i="5" s="1"/>
  <c r="C48" i="4"/>
  <c r="B62" i="5" s="1"/>
  <c r="C44" i="4"/>
  <c r="B58" i="5" s="1"/>
  <c r="J40" i="4"/>
  <c r="J32" i="4"/>
  <c r="J39" i="4"/>
  <c r="J31" i="4"/>
  <c r="C69" i="4"/>
  <c r="H103" i="4"/>
  <c r="B24" i="5" s="1"/>
  <c r="D103" i="4"/>
  <c r="B20" i="5" s="1"/>
  <c r="F128" i="4"/>
  <c r="F139" i="5" s="1"/>
  <c r="H110" i="4"/>
  <c r="E132" i="5" s="1"/>
  <c r="H77" i="4"/>
  <c r="F132" i="5" s="1"/>
  <c r="D77" i="4"/>
  <c r="F94" i="4"/>
  <c r="F110" i="4"/>
  <c r="I94" i="4"/>
  <c r="F28" i="4"/>
  <c r="G28" i="4"/>
  <c r="I28" i="4"/>
  <c r="F57" i="4"/>
  <c r="F59" i="4"/>
  <c r="H69" i="4"/>
  <c r="E59" i="4"/>
  <c r="D57" i="4"/>
  <c r="C57" i="4"/>
  <c r="D9" i="4"/>
  <c r="D10" i="4"/>
  <c r="G69" i="4"/>
  <c r="K144" i="4"/>
  <c r="E157" i="5" s="1"/>
  <c r="G144" i="4"/>
  <c r="F151" i="5" s="1"/>
  <c r="C144" i="4"/>
  <c r="B151" i="5" s="1"/>
  <c r="F136" i="4"/>
  <c r="E145" i="5" s="1"/>
  <c r="E128" i="4"/>
  <c r="D139" i="5" s="1"/>
  <c r="C160" i="4"/>
  <c r="B169" i="5" s="1"/>
  <c r="D128" i="4"/>
  <c r="C139" i="5" s="1"/>
  <c r="E152" i="4"/>
  <c r="D163" i="5" s="1"/>
  <c r="F144" i="4"/>
  <c r="E151" i="5" s="1"/>
  <c r="C47" i="4"/>
  <c r="B61" i="5" s="1"/>
  <c r="C43" i="4"/>
  <c r="B57" i="5" s="1"/>
  <c r="C46" i="4"/>
  <c r="B60" i="5" s="1"/>
  <c r="C42" i="4"/>
  <c r="B56" i="5" s="1"/>
  <c r="J36" i="4"/>
  <c r="C86" i="4"/>
  <c r="J35" i="4"/>
  <c r="D86" i="4"/>
  <c r="F69" i="4"/>
  <c r="B9" i="4"/>
  <c r="D15" i="4"/>
  <c r="C15" i="4"/>
  <c r="K15" i="4"/>
  <c r="C35" i="4"/>
  <c r="B50" i="5" s="1"/>
  <c r="C39" i="4"/>
  <c r="B54" i="5" s="1"/>
  <c r="C34" i="4"/>
  <c r="B49" i="5" s="1"/>
  <c r="C38" i="4"/>
  <c r="B53" i="5" s="1"/>
  <c r="J33" i="4"/>
  <c r="J34" i="4"/>
  <c r="B120" i="4"/>
  <c r="B28" i="5" s="1"/>
  <c r="J120" i="4"/>
  <c r="B35" i="5" s="1"/>
  <c r="E136" i="4"/>
  <c r="D145" i="5" s="1"/>
  <c r="F160" i="4"/>
  <c r="E169" i="5" s="1"/>
  <c r="C58" i="4"/>
  <c r="H58" i="4"/>
  <c r="G59" i="4"/>
  <c r="D28" i="4"/>
  <c r="F152" i="4"/>
  <c r="E163" i="5" s="1"/>
  <c r="E110" i="4"/>
  <c r="C77" i="4"/>
  <c r="G110" i="4"/>
  <c r="E131" i="5" s="1"/>
  <c r="B21" i="4"/>
  <c r="E9" i="5" s="1"/>
  <c r="E103" i="4"/>
  <c r="B21" i="5" s="1"/>
  <c r="B3" i="4"/>
  <c r="D130" i="5" s="1"/>
  <c r="E60" i="4" l="1"/>
  <c r="H60" i="4"/>
  <c r="G60" i="4"/>
  <c r="F60" i="4"/>
  <c r="D60" i="4"/>
  <c r="C60" i="4"/>
  <c r="A103" i="4"/>
  <c r="B17" i="5" s="1"/>
  <c r="C2" i="5"/>
  <c r="D3" i="6" s="1"/>
  <c r="B86" i="4"/>
  <c r="C31" i="4"/>
  <c r="B46" i="5" s="1"/>
  <c r="B128" i="4"/>
  <c r="A139" i="5" s="1"/>
  <c r="B144" i="4"/>
  <c r="C41" i="4"/>
  <c r="B94" i="4"/>
  <c r="A120" i="4"/>
  <c r="B27" i="5" s="1"/>
  <c r="B160" i="4"/>
  <c r="A169" i="5" s="1"/>
  <c r="B110" i="4"/>
  <c r="B77" i="4"/>
  <c r="B152" i="4"/>
  <c r="A163" i="5" s="1"/>
  <c r="B136" i="4"/>
  <c r="A145" i="5" s="1"/>
  <c r="B69" i="4"/>
  <c r="A15" i="4"/>
  <c r="G106" i="4"/>
  <c r="E23" i="5" s="1"/>
  <c r="C106" i="4"/>
  <c r="E19" i="5" s="1"/>
  <c r="F131" i="4"/>
  <c r="F142" i="5" s="1"/>
  <c r="F80" i="4"/>
  <c r="H97" i="4"/>
  <c r="D97" i="4"/>
  <c r="D113" i="4"/>
  <c r="G72" i="4"/>
  <c r="I72" i="4"/>
  <c r="I97" i="4"/>
  <c r="F43" i="4"/>
  <c r="E57" i="5" s="1"/>
  <c r="F46" i="4"/>
  <c r="E60" i="5" s="1"/>
  <c r="F33" i="4"/>
  <c r="E48" i="5" s="1"/>
  <c r="F36" i="4"/>
  <c r="E51" i="5" s="1"/>
  <c r="F48" i="4"/>
  <c r="E62" i="5" s="1"/>
  <c r="F39" i="4"/>
  <c r="E54" i="5" s="1"/>
  <c r="G89" i="4"/>
  <c r="C123" i="4"/>
  <c r="E29" i="5" s="1"/>
  <c r="H123" i="4"/>
  <c r="E33" i="5" s="1"/>
  <c r="D123" i="4"/>
  <c r="E30" i="5" s="1"/>
  <c r="F163" i="4"/>
  <c r="E172" i="5" s="1"/>
  <c r="I106" i="4"/>
  <c r="E106" i="4"/>
  <c r="E21" i="5" s="1"/>
  <c r="B6" i="4"/>
  <c r="G131" i="4"/>
  <c r="E142" i="5" s="1"/>
  <c r="H80" i="4"/>
  <c r="D80" i="4"/>
  <c r="F97" i="4"/>
  <c r="I113" i="4"/>
  <c r="I89" i="4"/>
  <c r="H72" i="4"/>
  <c r="G113" i="4"/>
  <c r="F72" i="4"/>
  <c r="F47" i="4"/>
  <c r="E61" i="5" s="1"/>
  <c r="F38" i="4"/>
  <c r="E53" i="5" s="1"/>
  <c r="F40" i="4"/>
  <c r="E55" i="5" s="1"/>
  <c r="F32" i="4"/>
  <c r="E47" i="5" s="1"/>
  <c r="F44" i="4"/>
  <c r="E58" i="5" s="1"/>
  <c r="F35" i="4"/>
  <c r="E50" i="5" s="1"/>
  <c r="J123" i="4"/>
  <c r="E35" i="5" s="1"/>
  <c r="F123" i="4"/>
  <c r="E31" i="5" s="1"/>
  <c r="B123" i="4"/>
  <c r="E28" i="5" s="1"/>
  <c r="D163" i="4"/>
  <c r="C172" i="5" s="1"/>
  <c r="J106" i="4"/>
  <c r="B106" i="4"/>
  <c r="E18" i="5" s="1"/>
  <c r="G97" i="4"/>
  <c r="C113" i="4"/>
  <c r="H113" i="4"/>
  <c r="F155" i="4"/>
  <c r="E166" i="5" s="1"/>
  <c r="F42" i="4"/>
  <c r="E56" i="5" s="1"/>
  <c r="G123" i="4"/>
  <c r="E32" i="5" s="1"/>
  <c r="J147" i="4"/>
  <c r="D160" i="5" s="1"/>
  <c r="H139" i="4"/>
  <c r="F148" i="5" s="1"/>
  <c r="C131" i="4"/>
  <c r="B142" i="5" s="1"/>
  <c r="E139" i="4"/>
  <c r="D148" i="5" s="1"/>
  <c r="D131" i="4"/>
  <c r="C142" i="5" s="1"/>
  <c r="D89" i="4"/>
  <c r="E97" i="4"/>
  <c r="C72" i="4"/>
  <c r="E123" i="4"/>
  <c r="H147" i="4"/>
  <c r="B160" i="5" s="1"/>
  <c r="K147" i="4"/>
  <c r="E160" i="5" s="1"/>
  <c r="D106" i="4"/>
  <c r="E20" i="5" s="1"/>
  <c r="C80" i="4"/>
  <c r="F113" i="4"/>
  <c r="E72" i="4"/>
  <c r="G155" i="4"/>
  <c r="F166" i="5" s="1"/>
  <c r="F34" i="4"/>
  <c r="E49" i="5" s="1"/>
  <c r="I123" i="4"/>
  <c r="E34" i="5" s="1"/>
  <c r="C155" i="4"/>
  <c r="B166" i="5" s="1"/>
  <c r="D147" i="4"/>
  <c r="C154" i="5" s="1"/>
  <c r="E131" i="4"/>
  <c r="D142" i="5" s="1"/>
  <c r="D155" i="4"/>
  <c r="C166" i="5" s="1"/>
  <c r="I147" i="4"/>
  <c r="C160" i="5" s="1"/>
  <c r="E147" i="4"/>
  <c r="D154" i="5" s="1"/>
  <c r="G139" i="4"/>
  <c r="F89" i="4"/>
  <c r="H106" i="4"/>
  <c r="E24" i="5" s="1"/>
  <c r="G80" i="4"/>
  <c r="E113" i="4"/>
  <c r="F37" i="4"/>
  <c r="E52" i="5" s="1"/>
  <c r="H89" i="4"/>
  <c r="F139" i="4"/>
  <c r="E148" i="5" s="1"/>
  <c r="E163" i="4"/>
  <c r="D172" i="5" s="1"/>
  <c r="F106" i="4"/>
  <c r="E22" i="5" s="1"/>
  <c r="I80" i="4"/>
  <c r="K123" i="4"/>
  <c r="E36" i="5" s="1"/>
  <c r="F147" i="4"/>
  <c r="E154" i="5" s="1"/>
  <c r="G147" i="4"/>
  <c r="F154" i="5" s="1"/>
  <c r="E89" i="4"/>
  <c r="E80" i="4"/>
  <c r="D139" i="4"/>
  <c r="C148" i="5" s="1"/>
  <c r="C139" i="4"/>
  <c r="B148" i="5" s="1"/>
  <c r="C89" i="4"/>
  <c r="C97" i="4"/>
  <c r="F45" i="4"/>
  <c r="E59" i="5" s="1"/>
  <c r="C163" i="4"/>
  <c r="B172" i="5" s="1"/>
  <c r="C147" i="4"/>
  <c r="B154" i="5" s="1"/>
  <c r="D72" i="4"/>
  <c r="E155" i="4"/>
  <c r="D166" i="5" s="1"/>
  <c r="A123" i="4" l="1"/>
  <c r="E27" i="5" s="1"/>
  <c r="B113" i="4"/>
  <c r="A106" i="4"/>
  <c r="E17" i="5" s="1"/>
  <c r="B147" i="4"/>
  <c r="B163" i="4"/>
  <c r="A172" i="5" s="1"/>
  <c r="B131" i="4"/>
  <c r="A142" i="5" s="1"/>
  <c r="B80" i="4"/>
  <c r="B72" i="4"/>
  <c r="B89" i="4"/>
  <c r="B139" i="4"/>
  <c r="A148" i="5" s="1"/>
  <c r="B155" i="4"/>
  <c r="A166" i="5" s="1"/>
  <c r="F41" i="4"/>
  <c r="F31" i="4"/>
  <c r="E46" i="5" s="1"/>
  <c r="B97" i="4"/>
  <c r="A157" i="5"/>
  <c r="A151" i="5"/>
  <c r="A160" i="5" l="1"/>
  <c r="A154" i="5"/>
</calcChain>
</file>

<file path=xl/comments1.xml><?xml version="1.0" encoding="utf-8"?>
<comments xmlns="http://schemas.openxmlformats.org/spreadsheetml/2006/main">
  <authors>
    <author>Tjeldflåt Asle</author>
  </authors>
  <commentList>
    <comment ref="D2" authorId="0" shapeId="0">
      <text>
        <r>
          <rPr>
            <sz val="9"/>
            <color indexed="81"/>
            <rFont val="Tahoma"/>
            <family val="2"/>
          </rPr>
          <t xml:space="preserve">Tast inn kommunenummer fra listen under her, og aktuell kommune kommer opp i cellen under. Gå så til arkfanen FAKTAARK.
</t>
        </r>
      </text>
    </comment>
  </commentList>
</comments>
</file>

<file path=xl/comments2.xml><?xml version="1.0" encoding="utf-8"?>
<comments xmlns="http://schemas.openxmlformats.org/spreadsheetml/2006/main">
  <authors>
    <author>NETWORK SERVICE</author>
  </authors>
  <commentList>
    <comment ref="F162" authorId="0" shapeId="0">
      <text>
        <r>
          <rPr>
            <sz val="8"/>
            <color rgb="FF000000"/>
            <rFont val="Tahoma"/>
            <family val="2"/>
          </rPr>
          <t xml:space="preserve">Fra og med 2013 er også tiltaksstillinger på funksjon 252 inkludert. Fra og med 2012 er tiltaksstillinger på funksjon 251 inkludert i tillegg til saksbehandler-/administrasjonsstillinger på funksjon 244.
</t>
        </r>
      </text>
    </comment>
  </commentList>
</comments>
</file>

<file path=xl/comments3.xml><?xml version="1.0" encoding="utf-8"?>
<comments xmlns="http://schemas.openxmlformats.org/spreadsheetml/2006/main">
  <authors>
    <author>NETWORK SERVICE</author>
  </authors>
  <commentList>
    <comment ref="G151" authorId="0" shapeId="0">
      <text>
        <r>
          <rPr>
            <sz val="8"/>
            <color rgb="FF000000"/>
            <rFont val="Tahoma"/>
            <family val="2"/>
          </rPr>
          <t xml:space="preserve">Fra og med 2013 er også tiltaksstillinger på funksjon 252 inkludert. Fra og med 2012 er tiltaksstillinger på funksjon 251 inkludert i tillegg til saksbehandler-/administrasjonsstillinger på funksjon 244.
</t>
        </r>
      </text>
    </comment>
  </commentList>
</comments>
</file>

<file path=xl/comments4.xml><?xml version="1.0" encoding="utf-8"?>
<comments xmlns="http://schemas.openxmlformats.org/spreadsheetml/2006/main">
  <authors>
    <author>NETWORK SERVICE</author>
  </authors>
  <commentList>
    <comment ref="C143" authorId="0" shapeId="0">
      <text>
        <r>
          <rPr>
            <sz val="8"/>
            <color rgb="FF000000"/>
            <rFont val="Tahoma"/>
            <family val="2"/>
          </rPr>
          <t xml:space="preserve">Variabelen må ses på som en indikasjon på hhv. hvor stor del av gjelden som kommunekonsernet må dekke renteutgiftene på selv og hvordan en renteendring vil slå ut på kommunekonsernets økonomi, gjort med utgangspunkt i innrapporterte regnskaper samt tall fra Husbanken og Vegvesenet på rentekompensasjonsordningene. Det vil likevel kunne være noen momenter som gjør at variablene må tolkes med en viss varsomhet. Noen slike momenter kan f.eks. være:¿         VAR-tjenester som er skilt ut i AS vil ikke inngå i konserntallene for langsiktig gjeld, men likevel bli trukket fra i renteeksponerte gjelden, og for disse kommunekonsernene vil variablene undervurdere den den renteeksponerte gjelden/kommunekonsernets netto renteeksponering.¿         Splittingen av IKS-ets gjeld på deltakerkommunene er gjort ut fra eierandel og samsvarer ikke nødvendigvis med hvordan IKS-ets selvkost er fordelt. ¿         Beregningene tar for seg aktiva og passiva som er rentebærende. Det er likevel ikke nødvendigvis fullt samsvar mellom de to sidene til enhver tid. Det vil kunne ta tid før tilskudd og betalingssatser blir justert i samsvar med endringer i rentenivået, og ulike poster kan knytte seg opp til ulike referanserenter for de ulike gebyrene og tilskuddene. Disse referanserentene vil nødvendigvis heller ikke være helt lik kommunekonsernets faktiske lånerente.¿         Utlån som forskutteringer, ansvarlige lån osv. kan være rentefrie. I tillegg kan tjenester som ikke er tatt med her, være relevante å ta med for den enkelte kommune, f.eks. hvis renteutgiftene til utleieboliger som kommunen har lånefinansiert, dekkes gjennom husleien.¿         Det er ikke tatt hensyn til rentebindinger.¿         Det er ikke tatt hensyn til hvordan endringer i renten kan virke inn på forvaltningen av pensjonsmidlene, og i neste omgang pensjonspremiene og ¿kostnadene. Tallene for Oslo omfatter både kommunekonsern og fylkeskonsern, inkludert  rentekompensasjon og bokført verdi for VAR-investeringene. Variabelen kan ikke estimeres på grunn av delberegninger hvor estimat ikke er relevant.
</t>
        </r>
      </text>
    </comment>
    <comment ref="C144" authorId="0" shapeId="0">
      <text>
        <r>
          <rPr>
            <sz val="8"/>
            <color rgb="FF000000"/>
            <rFont val="Tahoma"/>
            <family val="2"/>
          </rPr>
          <t xml:space="preserve">Variabelen må ses på som en indikasjon på hhv. hvor stor del av gjelden som kommunekonsernet må dekke renteutgiftene på selv og hvordan en renteendring vil slå ut på kommunekonsernets økonomi, gjort med utgangspunkt i innrapporterte regnskaper samt tall fra Husbanken og Vegvesenet på rentekompensasjonsordningene. Det vil likevel kunne være noen momenter som gjør at variablene må tolkes med en viss varsomhet. Noen slike momenter kan f.eks. være:¿         VAR-tjenester som er skilt ut i AS vil ikke inngå i konserntallene for langsiktig gjeld, men likevel bli trukket fra i renteeksponerte gjelden, og for disse kommunekonsernene vil variablene undervurdere den den renteeksponerte gjelden/kommunekonsernets netto renteeksponering.¿         Splittingen av IKS-ets gjeld på deltakerkommunene er gjort ut fra eierandel og samsvarer ikke nødvendigvis med hvordan IKS-ets selvkost er fordelt. ¿         Beregningene tar for seg aktiva og passiva som er rentebærende. Det er likevel ikke nødvendigvis fullt samsvar mellom de to sidene til enhver tid. Det vil kunne ta tid før tilskudd og betalingssatser blir justert i samsvar med endringer i rentenivået, og ulike poster kan knytte seg opp til ulike referanserenter for de ulike gebyrene og tilskuddene. Disse referanserentene vil nødvendigvis heller ikke være helt lik kommunekonsernets faktiske lånerente.¿         Utlån som forskutteringer, ansvarlige lån osv. kan være rentefrie. I tillegg kan tjenester som ikke er tatt med her, være relevante å ta med for den enkelte kommune, f.eks. hvis renteutgiftene til utleieboliger som kommunen har lånefinansiert, dekkes gjennom husleien.¿         Det er ikke tatt hensyn til rentebindinger.¿         Det er ikke tatt hensyn til hvordan endringer i renten kan virke inn på forvaltningen av pensjonsmidlene, og i neste omgang pensjonspremiene og ¿kostnadene. Tallene for Oslo omfatter både kommunekonsern og fylkeskonsern, inkludert  rentekompensasjon og bokført verdi for VAR-investeringene. Variabelen kan ikke estimeres på grunn av delberegninger hvor estimat ikke er relevant.
</t>
        </r>
      </text>
    </comment>
    <comment ref="C145" authorId="0" shapeId="0">
      <text>
        <r>
          <rPr>
            <sz val="8"/>
            <color rgb="FF000000"/>
            <rFont val="Tahoma"/>
            <family val="2"/>
          </rPr>
          <t xml:space="preserve">Variabelen må ses på som en indikasjon på hhv. hvor stor del av gjelden som kommunekonsernet må dekke renteutgiftene på selv og hvordan en renteendring vil slå ut på kommunekonsernets økonomi, gjort med utgangspunkt i innrapporterte regnskaper samt tall fra Husbanken og Vegvesenet på rentekompensasjonsordningene. Det vil likevel kunne være noen momenter som gjør at variablene må tolkes med en viss varsomhet. Noen slike momenter kan f.eks. være:¿         VAR-tjenester som er skilt ut i AS vil ikke inngå i konserntallene for langsiktig gjeld, men likevel bli trukket fra i renteeksponerte gjelden, og for disse kommunekonsernene vil variablene undervurdere den den renteeksponerte gjelden/kommunekonsernets netto renteeksponering.¿         Splittingen av IKS-ets gjeld på deltakerkommunene er gjort ut fra eierandel og samsvarer ikke nødvendigvis med hvordan IKS-ets selvkost er fordelt. ¿         Beregningene tar for seg aktiva og passiva som er rentebærende. Det er likevel ikke nødvendigvis fullt samsvar mellom de to sidene til enhver tid. Det vil kunne ta tid før tilskudd og betalingssatser blir justert i samsvar med endringer i rentenivået, og ulike poster kan knytte seg opp til ulike referanserenter for de ulike gebyrene og tilskuddene. Disse referanserentene vil nødvendigvis heller ikke være helt lik kommunekonsernets faktiske lånerente.¿         Utlån som forskutteringer, ansvarlige lån osv. kan være rentefrie. I tillegg kan tjenester som ikke er tatt med her, være relevante å ta med for den enkelte kommune, f.eks. hvis renteutgiftene til utleieboliger som kommunen har lånefinansiert, dekkes gjennom husleien.¿         Det er ikke tatt hensyn til rentebindinger.¿         Det er ikke tatt hensyn til hvordan endringer i renten kan virke inn på forvaltningen av pensjonsmidlene, og i neste omgang pensjonspremiene og ¿kostnadene. Tallene for Oslo omfatter både kommunekonsern og fylkeskonsern, inkludert  rentekompensasjon og bokført verdi for VAR-investeringene. Variabelen kan ikke estimeres på grunn av delberegninger hvor estimat ikke er relevant.
</t>
        </r>
      </text>
    </comment>
    <comment ref="C146" authorId="0" shapeId="0">
      <text>
        <r>
          <rPr>
            <sz val="8"/>
            <color rgb="FF000000"/>
            <rFont val="Tahoma"/>
            <family val="2"/>
          </rPr>
          <t xml:space="preserve">Variabelen må ses på som en indikasjon på hhv. hvor stor del av gjelden som kommunekonsernet må dekke renteutgiftene på selv og hvordan en renteendring vil slå ut på kommunekonsernets økonomi, gjort med utgangspunkt i innrapporterte regnskaper samt tall fra Husbanken og Vegvesenet på rentekompensasjonsordningene. Det vil likevel kunne være noen momenter som gjør at variablene må tolkes med en viss varsomhet. Noen slike momenter kan f.eks. være:¿         VAR-tjenester som er skilt ut i AS vil ikke inngå i konserntallene for langsiktig gjeld, men likevel bli trukket fra i renteeksponerte gjelden, og for disse kommunekonsernene vil variablene undervurdere den den renteeksponerte gjelden/kommunekonsernets netto renteeksponering.¿         Splittingen av IKS-ets gjeld på deltakerkommunene er gjort ut fra eierandel og samsvarer ikke nødvendigvis med hvordan IKS-ets selvkost er fordelt. ¿         Beregningene tar for seg aktiva og passiva som er rentebærende. Det er likevel ikke nødvendigvis fullt samsvar mellom de to sidene til enhver tid. Det vil kunne ta tid før tilskudd og betalingssatser blir justert i samsvar med endringer i rentenivået, og ulike poster kan knytte seg opp til ulike referanserenter for de ulike gebyrene og tilskuddene. Disse referanserentene vil nødvendigvis heller ikke være helt lik kommunekonsernets faktiske lånerente.¿         Utlån som forskutteringer, ansvarlige lån osv. kan være rentefrie. I tillegg kan tjenester som ikke er tatt med her, være relevante å ta med for den enkelte kommune, f.eks. hvis renteutgiftene til utleieboliger som kommunen har lånefinansiert, dekkes gjennom husleien.¿         Det er ikke tatt hensyn til rentebindinger.¿         Det er ikke tatt hensyn til hvordan endringer i renten kan virke inn på forvaltningen av pensjonsmidlene, og i neste omgang pensjonspremiene og ¿kostnadene. Tallene for Oslo omfatter både kommunekonsern og fylkeskonsern, inkludert  rentekompensasjon og bokført verdi for VAR-investeringene. Variabelen kan ikke estimeres på grunn av delberegninger hvor estimat ikke er relevant.
</t>
        </r>
      </text>
    </comment>
    <comment ref="C147" authorId="0" shapeId="0">
      <text>
        <r>
          <rPr>
            <sz val="8"/>
            <color rgb="FF000000"/>
            <rFont val="Tahoma"/>
            <family val="2"/>
          </rPr>
          <t xml:space="preserve">Variabelen må ses på som en indikasjon på hhv. hvor stor del av gjelden som kommunekonsernet må dekke renteutgiftene på selv og hvordan en renteendring vil slå ut på kommunekonsernets økonomi, gjort med utgangspunkt i innrapporterte regnskaper samt tall fra Husbanken og Vegvesenet på rentekompensasjonsordningene. Det vil likevel kunne være noen momenter som gjør at variablene må tolkes med en viss varsomhet. Noen slike momenter kan f.eks. være:¿         VAR-tjenester som er skilt ut i AS vil ikke inngå i konserntallene for langsiktig gjeld, men likevel bli trukket fra i renteeksponerte gjelden, og for disse kommunekonsernene vil variablene undervurdere den den renteeksponerte gjelden/kommunekonsernets netto renteeksponering.¿         Splittingen av IKS-ets gjeld på deltakerkommunene er gjort ut fra eierandel og samsvarer ikke nødvendigvis med hvordan IKS-ets selvkost er fordelt. ¿         Beregningene tar for seg aktiva og passiva som er rentebærende. Det er likevel ikke nødvendigvis fullt samsvar mellom de to sidene til enhver tid. Det vil kunne ta tid før tilskudd og betalingssatser blir justert i samsvar med endringer i rentenivået, og ulike poster kan knytte seg opp til ulike referanserenter for de ulike gebyrene og tilskuddene. Disse referanserentene vil nødvendigvis heller ikke være helt lik kommunekonsernets faktiske lånerente.¿         Utlån som forskutteringer, ansvarlige lån osv. kan være rentefrie. I tillegg kan tjenester som ikke er tatt med her, være relevante å ta med for den enkelte kommune, f.eks. hvis renteutgiftene til utleieboliger som kommunen har lånefinansiert, dekkes gjennom husleien.¿         Det er ikke tatt hensyn til rentebindinger.¿         Det er ikke tatt hensyn til hvordan endringer i renten kan virke inn på forvaltningen av pensjonsmidlene, og i neste omgang pensjonspremiene og ¿kostnadene. Tallene for Oslo omfatter både kommunekonsern og fylkeskonsern, inkludert  rentekompensasjon og bokført verdi for VAR-investeringene. Variabelen kan ikke estimeres på grunn av delberegninger hvor estimat ikke er relevant.
</t>
        </r>
      </text>
    </comment>
    <comment ref="C148" authorId="0" shapeId="0">
      <text>
        <r>
          <rPr>
            <sz val="8"/>
            <color rgb="FF000000"/>
            <rFont val="Tahoma"/>
            <family val="2"/>
          </rPr>
          <t xml:space="preserve">Variabelen må ses på som en indikasjon på hhv. hvor stor del av gjelden som kommunekonsernet må dekke renteutgiftene på selv og hvordan en renteendring vil slå ut på kommunekonsernets økonomi, gjort med utgangspunkt i innrapporterte regnskaper samt tall fra Husbanken og Vegvesenet på rentekompensasjonsordningene. Det vil likevel kunne være noen momenter som gjør at variablene må tolkes med en viss varsomhet. Noen slike momenter kan f.eks. være:¿         VAR-tjenester som er skilt ut i AS vil ikke inngå i konserntallene for langsiktig gjeld, men likevel bli trukket fra i renteeksponerte gjelden, og for disse kommunekonsernene vil variablene undervurdere den den renteeksponerte gjelden/kommunekonsernets netto renteeksponering.¿         Splittingen av IKS-ets gjeld på deltakerkommunene er gjort ut fra eierandel og samsvarer ikke nødvendigvis med hvordan IKS-ets selvkost er fordelt. ¿         Beregningene tar for seg aktiva og passiva som er rentebærende. Det er likevel ikke nødvendigvis fullt samsvar mellom de to sidene til enhver tid. Det vil kunne ta tid før tilskudd og betalingssatser blir justert i samsvar med endringer i rentenivået, og ulike poster kan knytte seg opp til ulike referanserenter for de ulike gebyrene og tilskuddene. Disse referanserentene vil nødvendigvis heller ikke være helt lik kommunekonsernets faktiske lånerente.¿         Utlån som forskutteringer, ansvarlige lån osv. kan være rentefrie. I tillegg kan tjenester som ikke er tatt med her, være relevante å ta med for den enkelte kommune, f.eks. hvis renteutgiftene til utleieboliger som kommunen har lånefinansiert, dekkes gjennom husleien.¿         Det er ikke tatt hensyn til rentebindinger.¿         Det er ikke tatt hensyn til hvordan endringer i renten kan virke inn på forvaltningen av pensjonsmidlene, og i neste omgang pensjonspremiene og ¿kostnadene. Tallene for Oslo omfatter både kommunekonsern og fylkeskonsern, inkludert  rentekompensasjon og bokført verdi for VAR-investeringene. Variabelen kan ikke estimeres på grunn av delberegninger hvor estimat ikke er relevant.
</t>
        </r>
      </text>
    </comment>
    <comment ref="C149" authorId="0" shapeId="0">
      <text>
        <r>
          <rPr>
            <sz val="8"/>
            <color rgb="FF000000"/>
            <rFont val="Tahoma"/>
            <family val="2"/>
          </rPr>
          <t xml:space="preserve">Variabelen må ses på som en indikasjon på hhv. hvor stor del av gjelden som kommunekonsernet må dekke renteutgiftene på selv og hvordan en renteendring vil slå ut på kommunekonsernets økonomi, gjort med utgangspunkt i innrapporterte regnskaper samt tall fra Husbanken og Vegvesenet på rentekompensasjonsordningene. Det vil likevel kunne være noen momenter som gjør at variablene må tolkes med en viss varsomhet. Noen slike momenter kan f.eks. være:¿         VAR-tjenester som er skilt ut i AS vil ikke inngå i konserntallene for langsiktig gjeld, men likevel bli trukket fra i renteeksponerte gjelden, og for disse kommunekonsernene vil variablene undervurdere den den renteeksponerte gjelden/kommunekonsernets netto renteeksponering.¿         Splittingen av IKS-ets gjeld på deltakerkommunene er gjort ut fra eierandel og samsvarer ikke nødvendigvis med hvordan IKS-ets selvkost er fordelt. ¿         Beregningene tar for seg aktiva og passiva som er rentebærende. Det er likevel ikke nødvendigvis fullt samsvar mellom de to sidene til enhver tid. Det vil kunne ta tid før tilskudd og betalingssatser blir justert i samsvar med endringer i rentenivået, og ulike poster kan knytte seg opp til ulike referanserenter for de ulike gebyrene og tilskuddene. Disse referanserentene vil nødvendigvis heller ikke være helt lik kommunekonsernets faktiske lånerente.¿         Utlån som forskutteringer, ansvarlige lån osv. kan være rentefrie. I tillegg kan tjenester som ikke er tatt med her, være relevante å ta med for den enkelte kommune, f.eks. hvis renteutgiftene til utleieboliger som kommunen har lånefinansiert, dekkes gjennom husleien.¿         Det er ikke tatt hensyn til rentebindinger.¿         Det er ikke tatt hensyn til hvordan endringer i renten kan virke inn på forvaltningen av pensjonsmidlene, og i neste omgang pensjonspremiene og ¿kostnadene. Tallene for Oslo omfatter både kommunekonsern og fylkeskonsern, inkludert  rentekompensasjon og bokført verdi for VAR-investeringene. Variabelen kan ikke estimeres på grunn av delberegninger hvor estimat ikke er relevant.
</t>
        </r>
      </text>
    </comment>
    <comment ref="C150" authorId="0" shapeId="0">
      <text>
        <r>
          <rPr>
            <sz val="8"/>
            <color rgb="FF000000"/>
            <rFont val="Tahoma"/>
            <family val="2"/>
          </rPr>
          <t xml:space="preserve">Variabelen må ses på som en indikasjon på hhv. hvor stor del av gjelden som kommunekonsernet må dekke renteutgiftene på selv og hvordan en renteendring vil slå ut på kommunekonsernets økonomi, gjort med utgangspunkt i innrapporterte regnskaper samt tall fra Husbanken og Vegvesenet på rentekompensasjonsordningene. Det vil likevel kunne være noen momenter som gjør at variablene må tolkes med en viss varsomhet. Noen slike momenter kan f.eks. være:¿         VAR-tjenester som er skilt ut i AS vil ikke inngå i konserntallene for langsiktig gjeld, men likevel bli trukket fra i renteeksponerte gjelden, og for disse kommunekonsernene vil variablene undervurdere den den renteeksponerte gjelden/kommunekonsernets netto renteeksponering.¿         Splittingen av IKS-ets gjeld på deltakerkommunene er gjort ut fra eierandel og samsvarer ikke nødvendigvis med hvordan IKS-ets selvkost er fordelt. ¿         Beregningene tar for seg aktiva og passiva som er rentebærende. Det er likevel ikke nødvendigvis fullt samsvar mellom de to sidene til enhver tid. Det vil kunne ta tid før tilskudd og betalingssatser blir justert i samsvar med endringer i rentenivået, og ulike poster kan knytte seg opp til ulike referanserenter for de ulike gebyrene og tilskuddene. Disse referanserentene vil nødvendigvis heller ikke være helt lik kommunekonsernets faktiske lånerente.¿         Utlån som forskutteringer, ansvarlige lån osv. kan være rentefrie. I tillegg kan tjenester som ikke er tatt med her, være relevante å ta med for den enkelte kommune, f.eks. hvis renteutgiftene til utleieboliger som kommunen har lånefinansiert, dekkes gjennom husleien.¿         Det er ikke tatt hensyn til rentebindinger.¿         Det er ikke tatt hensyn til hvordan endringer i renten kan virke inn på forvaltningen av pensjonsmidlene, og i neste omgang pensjonspremiene og ¿kostnadene. Tallene for Oslo omfatter både kommunekonsern og fylkeskonsern, inkludert  rentekompensasjon og bokført verdi for VAR-investeringene. Variabelen kan ikke estimeres på grunn av delberegninger hvor estimat ikke er relevant.
</t>
        </r>
      </text>
    </comment>
    <comment ref="C151" authorId="0" shapeId="0">
      <text>
        <r>
          <rPr>
            <sz val="8"/>
            <color rgb="FF000000"/>
            <rFont val="Tahoma"/>
            <family val="2"/>
          </rPr>
          <t xml:space="preserve">Variabelen må ses på som en indikasjon på hhv. hvor stor del av gjelden som kommunekonsernet må dekke renteutgiftene på selv og hvordan en renteendring vil slå ut på kommunekonsernets økonomi, gjort med utgangspunkt i innrapporterte regnskaper samt tall fra Husbanken og Vegvesenet på rentekompensasjonsordningene. Det vil likevel kunne være noen momenter som gjør at variablene må tolkes med en viss varsomhet. Noen slike momenter kan f.eks. være:¿         VAR-tjenester som er skilt ut i AS vil ikke inngå i konserntallene for langsiktig gjeld, men likevel bli trukket fra i renteeksponerte gjelden, og for disse kommunekonsernene vil variablene undervurdere den den renteeksponerte gjelden/kommunekonsernets netto renteeksponering.¿         Splittingen av IKS-ets gjeld på deltakerkommunene er gjort ut fra eierandel og samsvarer ikke nødvendigvis med hvordan IKS-ets selvkost er fordelt. ¿         Beregningene tar for seg aktiva og passiva som er rentebærende. Det er likevel ikke nødvendigvis fullt samsvar mellom de to sidene til enhver tid. Det vil kunne ta tid før tilskudd og betalingssatser blir justert i samsvar med endringer i rentenivået, og ulike poster kan knytte seg opp til ulike referanserenter for de ulike gebyrene og tilskuddene. Disse referanserentene vil nødvendigvis heller ikke være helt lik kommunekonsernets faktiske lånerente.¿         Utlån som forskutteringer, ansvarlige lån osv. kan være rentefrie. I tillegg kan tjenester som ikke er tatt med her, være relevante å ta med for den enkelte kommune, f.eks. hvis renteutgiftene til utleieboliger som kommunen har lånefinansiert, dekkes gjennom husleien.¿         Det er ikke tatt hensyn til rentebindinger.¿         Det er ikke tatt hensyn til hvordan endringer i renten kan virke inn på forvaltningen av pensjonsmidlene, og i neste omgang pensjonspremiene og ¿kostnadene. Tallene for Oslo omfatter både kommunekonsern og fylkeskonsern, inkludert  rentekompensasjon og bokført verdi for VAR-investeringene. Variabelen kan ikke estimeres på grunn av delberegninger hvor estimat ikke er relevant.
</t>
        </r>
      </text>
    </comment>
    <comment ref="C152" authorId="0" shapeId="0">
      <text>
        <r>
          <rPr>
            <sz val="8"/>
            <color rgb="FF000000"/>
            <rFont val="Tahoma"/>
            <family val="2"/>
          </rPr>
          <t xml:space="preserve">Variabelen må ses på som en indikasjon på hhv. hvor stor del av gjelden som kommunekonsernet må dekke renteutgiftene på selv og hvordan en renteendring vil slå ut på kommunekonsernets økonomi, gjort med utgangspunkt i innrapporterte regnskaper samt tall fra Husbanken og Vegvesenet på rentekompensasjonsordningene. Det vil likevel kunne være noen momenter som gjør at variablene må tolkes med en viss varsomhet. Noen slike momenter kan f.eks. være:¿         VAR-tjenester som er skilt ut i AS vil ikke inngå i konserntallene for langsiktig gjeld, men likevel bli trukket fra i renteeksponerte gjelden, og for disse kommunekonsernene vil variablene undervurdere den den renteeksponerte gjelden/kommunekonsernets netto renteeksponering.¿         Splittingen av IKS-ets gjeld på deltakerkommunene er gjort ut fra eierandel og samsvarer ikke nødvendigvis med hvordan IKS-ets selvkost er fordelt. ¿         Beregningene tar for seg aktiva og passiva som er rentebærende. Det er likevel ikke nødvendigvis fullt samsvar mellom de to sidene til enhver tid. Det vil kunne ta tid før tilskudd og betalingssatser blir justert i samsvar med endringer i rentenivået, og ulike poster kan knytte seg opp til ulike referanserenter for de ulike gebyrene og tilskuddene. Disse referanserentene vil nødvendigvis heller ikke være helt lik kommunekonsernets faktiske lånerente.¿         Utlån som forskutteringer, ansvarlige lån osv. kan være rentefrie. I tillegg kan tjenester som ikke er tatt med her, være relevante å ta med for den enkelte kommune, f.eks. hvis renteutgiftene til utleieboliger som kommunen har lånefinansiert, dekkes gjennom husleien.¿         Det er ikke tatt hensyn til rentebindinger.¿         Det er ikke tatt hensyn til hvordan endringer i renten kan virke inn på forvaltningen av pensjonsmidlene, og i neste omgang pensjonspremiene og ¿kostnadene. Tallene for Oslo omfatter både kommunekonsern og fylkeskonsern, inkludert  rentekompensasjon og bokført verdi for VAR-investeringene. Variabelen kan ikke estimeres på grunn av delberegninger hvor estimat ikke er relevant.
</t>
        </r>
      </text>
    </comment>
    <comment ref="C153" authorId="0" shapeId="0">
      <text>
        <r>
          <rPr>
            <sz val="8"/>
            <color rgb="FF000000"/>
            <rFont val="Tahoma"/>
            <family val="2"/>
          </rPr>
          <t xml:space="preserve">Variabelen må ses på som en indikasjon på hhv. hvor stor del av gjelden som kommunekonsernet må dekke renteutgiftene på selv og hvordan en renteendring vil slå ut på kommunekonsernets økonomi, gjort med utgangspunkt i innrapporterte regnskaper samt tall fra Husbanken og Vegvesenet på rentekompensasjonsordningene. Det vil likevel kunne være noen momenter som gjør at variablene må tolkes med en viss varsomhet. Noen slike momenter kan f.eks. være:¿         VAR-tjenester som er skilt ut i AS vil ikke inngå i konserntallene for langsiktig gjeld, men likevel bli trukket fra i renteeksponerte gjelden, og for disse kommunekonsernene vil variablene undervurdere den den renteeksponerte gjelden/kommunekonsernets netto renteeksponering.¿         Splittingen av IKS-ets gjeld på deltakerkommunene er gjort ut fra eierandel og samsvarer ikke nødvendigvis med hvordan IKS-ets selvkost er fordelt. ¿         Beregningene tar for seg aktiva og passiva som er rentebærende. Det er likevel ikke nødvendigvis fullt samsvar mellom de to sidene til enhver tid. Det vil kunne ta tid før tilskudd og betalingssatser blir justert i samsvar med endringer i rentenivået, og ulike poster kan knytte seg opp til ulike referanserenter for de ulike gebyrene og tilskuddene. Disse referanserentene vil nødvendigvis heller ikke være helt lik kommunekonsernets faktiske lånerente.¿         Utlån som forskutteringer, ansvarlige lån osv. kan være rentefrie. I tillegg kan tjenester som ikke er tatt med her, være relevante å ta med for den enkelte kommune, f.eks. hvis renteutgiftene til utleieboliger som kommunen har lånefinansiert, dekkes gjennom husleien.¿         Det er ikke tatt hensyn til rentebindinger.¿         Det er ikke tatt hensyn til hvordan endringer i renten kan virke inn på forvaltningen av pensjonsmidlene, og i neste omgang pensjonspremiene og ¿kostnadene. Tallene for Oslo omfatter både kommunekonsern og fylkeskonsern, inkludert  rentekompensasjon og bokført verdi for VAR-investeringene. Variabelen kan ikke estimeres på grunn av delberegninger hvor estimat ikke er relevant.
</t>
        </r>
      </text>
    </comment>
    <comment ref="C154" authorId="0" shapeId="0">
      <text>
        <r>
          <rPr>
            <sz val="8"/>
            <color rgb="FF000000"/>
            <rFont val="Tahoma"/>
            <family val="2"/>
          </rPr>
          <t xml:space="preserve">Variabelen må ses på som en indikasjon på hhv. hvor stor del av gjelden som kommunekonsernet må dekke renteutgiftene på selv og hvordan en renteendring vil slå ut på kommunekonsernets økonomi, gjort med utgangspunkt i innrapporterte regnskaper samt tall fra Husbanken og Vegvesenet på rentekompensasjonsordningene. Det vil likevel kunne være noen momenter som gjør at variablene må tolkes med en viss varsomhet. Noen slike momenter kan f.eks. være:¿         VAR-tjenester som er skilt ut i AS vil ikke inngå i konserntallene for langsiktig gjeld, men likevel bli trukket fra i renteeksponerte gjelden, og for disse kommunekonsernene vil variablene undervurdere den den renteeksponerte gjelden/kommunekonsernets netto renteeksponering.¿         Splittingen av IKS-ets gjeld på deltakerkommunene er gjort ut fra eierandel og samsvarer ikke nødvendigvis med hvordan IKS-ets selvkost er fordelt. ¿         Beregningene tar for seg aktiva og passiva som er rentebærende. Det er likevel ikke nødvendigvis fullt samsvar mellom de to sidene til enhver tid. Det vil kunne ta tid før tilskudd og betalingssatser blir justert i samsvar med endringer i rentenivået, og ulike poster kan knytte seg opp til ulike referanserenter for de ulike gebyrene og tilskuddene. Disse referanserentene vil nødvendigvis heller ikke være helt lik kommunekonsernets faktiske lånerente.¿         Utlån som forskutteringer, ansvarlige lån osv. kan være rentefrie. I tillegg kan tjenester som ikke er tatt med her, være relevante å ta med for den enkelte kommune, f.eks. hvis renteutgiftene til utleieboliger som kommunen har lånefinansiert, dekkes gjennom husleien.¿         Det er ikke tatt hensyn til rentebindinger.¿         Det er ikke tatt hensyn til hvordan endringer i renten kan virke inn på forvaltningen av pensjonsmidlene, og i neste omgang pensjonspremiene og ¿kostnadene. Tallene for Oslo omfatter både kommunekonsern og fylkeskonsern, inkludert  rentekompensasjon og bokført verdi for VAR-investeringene. Variabelen kan ikke estimeres på grunn av delberegninger hvor estimat ikke er relevant.
</t>
        </r>
      </text>
    </comment>
    <comment ref="C155" authorId="0" shapeId="0">
      <text>
        <r>
          <rPr>
            <sz val="8"/>
            <color rgb="FF000000"/>
            <rFont val="Tahoma"/>
            <family val="2"/>
          </rPr>
          <t xml:space="preserve">Variabelen må ses på som en indikasjon på hhv. hvor stor del av gjelden som kommunekonsernet må dekke renteutgiftene på selv og hvordan en renteendring vil slå ut på kommunekonsernets økonomi, gjort med utgangspunkt i innrapporterte regnskaper samt tall fra Husbanken og Vegvesenet på rentekompensasjonsordningene. Det vil likevel kunne være noen momenter som gjør at variablene må tolkes med en viss varsomhet. Noen slike momenter kan f.eks. være:¿         VAR-tjenester som er skilt ut i AS vil ikke inngå i konserntallene for langsiktig gjeld, men likevel bli trukket fra i renteeksponerte gjelden, og for disse kommunekonsernene vil variablene undervurdere den den renteeksponerte gjelden/kommunekonsernets netto renteeksponering.¿         Splittingen av IKS-ets gjeld på deltakerkommunene er gjort ut fra eierandel og samsvarer ikke nødvendigvis med hvordan IKS-ets selvkost er fordelt. ¿         Beregningene tar for seg aktiva og passiva som er rentebærende. Det er likevel ikke nødvendigvis fullt samsvar mellom de to sidene til enhver tid. Det vil kunne ta tid før tilskudd og betalingssatser blir justert i samsvar med endringer i rentenivået, og ulike poster kan knytte seg opp til ulike referanserenter for de ulike gebyrene og tilskuddene. Disse referanserentene vil nødvendigvis heller ikke være helt lik kommunekonsernets faktiske lånerente.¿         Utlån som forskutteringer, ansvarlige lån osv. kan være rentefrie. I tillegg kan tjenester som ikke er tatt med her, være relevante å ta med for den enkelte kommune, f.eks. hvis renteutgiftene til utleieboliger som kommunen har lånefinansiert, dekkes gjennom husleien.¿         Det er ikke tatt hensyn til rentebindinger.¿         Det er ikke tatt hensyn til hvordan endringer i renten kan virke inn på forvaltningen av pensjonsmidlene, og i neste omgang pensjonspremiene og ¿kostnadene. Tallene for Oslo omfatter både kommunekonsern og fylkeskonsern, inkludert  rentekompensasjon og bokført verdi for VAR-investeringene. Variabelen kan ikke estimeres på grunn av delberegninger hvor estimat ikke er relevant.
</t>
        </r>
      </text>
    </comment>
    <comment ref="C156" authorId="0" shapeId="0">
      <text>
        <r>
          <rPr>
            <sz val="8"/>
            <color rgb="FF000000"/>
            <rFont val="Tahoma"/>
            <family val="2"/>
          </rPr>
          <t xml:space="preserve">Variabelen må ses på som en indikasjon på hhv. hvor stor del av gjelden som kommunekonsernet må dekke renteutgiftene på selv og hvordan en renteendring vil slå ut på kommunekonsernets økonomi, gjort med utgangspunkt i innrapporterte regnskaper samt tall fra Husbanken og Vegvesenet på rentekompensasjonsordningene. Det vil likevel kunne være noen momenter som gjør at variablene må tolkes med en viss varsomhet. Noen slike momenter kan f.eks. være:¿         VAR-tjenester som er skilt ut i AS vil ikke inngå i konserntallene for langsiktig gjeld, men likevel bli trukket fra i renteeksponerte gjelden, og for disse kommunekonsernene vil variablene undervurdere den den renteeksponerte gjelden/kommunekonsernets netto renteeksponering.¿         Splittingen av IKS-ets gjeld på deltakerkommunene er gjort ut fra eierandel og samsvarer ikke nødvendigvis med hvordan IKS-ets selvkost er fordelt. ¿         Beregningene tar for seg aktiva og passiva som er rentebærende. Det er likevel ikke nødvendigvis fullt samsvar mellom de to sidene til enhver tid. Det vil kunne ta tid før tilskudd og betalingssatser blir justert i samsvar med endringer i rentenivået, og ulike poster kan knytte seg opp til ulike referanserenter for de ulike gebyrene og tilskuddene. Disse referanserentene vil nødvendigvis heller ikke være helt lik kommunekonsernets faktiske lånerente.¿         Utlån som forskutteringer, ansvarlige lån osv. kan være rentefrie. I tillegg kan tjenester som ikke er tatt med her, være relevante å ta med for den enkelte kommune, f.eks. hvis renteutgiftene til utleieboliger som kommunen har lånefinansiert, dekkes gjennom husleien.¿         Det er ikke tatt hensyn til rentebindinger.¿         Det er ikke tatt hensyn til hvordan endringer i renten kan virke inn på forvaltningen av pensjonsmidlene, og i neste omgang pensjonspremiene og ¿kostnadene. Tallene for Oslo omfatter både kommunekonsern og fylkeskonsern, inkludert  rentekompensasjon og bokført verdi for VAR-investeringene. Variabelen kan ikke estimeres på grunn av delberegninger hvor estimat ikke er relevant.
</t>
        </r>
      </text>
    </comment>
    <comment ref="C157" authorId="0" shapeId="0">
      <text>
        <r>
          <rPr>
            <sz val="8"/>
            <color rgb="FF000000"/>
            <rFont val="Tahoma"/>
            <family val="2"/>
          </rPr>
          <t xml:space="preserve">Variabelen må ses på som en indikasjon på hhv. hvor stor del av gjelden som kommunekonsernet må dekke renteutgiftene på selv og hvordan en renteendring vil slå ut på kommunekonsernets økonomi, gjort med utgangspunkt i innrapporterte regnskaper samt tall fra Husbanken og Vegvesenet på rentekompensasjonsordningene. Det vil likevel kunne være noen momenter som gjør at variablene må tolkes med en viss varsomhet. Noen slike momenter kan f.eks. være:¿         VAR-tjenester som er skilt ut i AS vil ikke inngå i konserntallene for langsiktig gjeld, men likevel bli trukket fra i renteeksponerte gjelden, og for disse kommunekonsernene vil variablene undervurdere den den renteeksponerte gjelden/kommunekonsernets netto renteeksponering.¿         Splittingen av IKS-ets gjeld på deltakerkommunene er gjort ut fra eierandel og samsvarer ikke nødvendigvis med hvordan IKS-ets selvkost er fordelt. ¿         Beregningene tar for seg aktiva og passiva som er rentebærende. Det er likevel ikke nødvendigvis fullt samsvar mellom de to sidene til enhver tid. Det vil kunne ta tid før tilskudd og betalingssatser blir justert i samsvar med endringer i rentenivået, og ulike poster kan knytte seg opp til ulike referanserenter for de ulike gebyrene og tilskuddene. Disse referanserentene vil nødvendigvis heller ikke være helt lik kommunekonsernets faktiske lånerente.¿         Utlån som forskutteringer, ansvarlige lån osv. kan være rentefrie. I tillegg kan tjenester som ikke er tatt med her, være relevante å ta med for den enkelte kommune, f.eks. hvis renteutgiftene til utleieboliger som kommunen har lånefinansiert, dekkes gjennom husleien.¿         Det er ikke tatt hensyn til rentebindinger.¿         Det er ikke tatt hensyn til hvordan endringer i renten kan virke inn på forvaltningen av pensjonsmidlene, og i neste omgang pensjonspremiene og ¿kostnadene. Tallene for Oslo omfatter både kommunekonsern og fylkeskonsern, inkludert  rentekompensasjon og bokført verdi for VAR-investeringene. Variabelen kan ikke estimeres på grunn av delberegninger hvor estimat ikke er relevant.
</t>
        </r>
      </text>
    </comment>
    <comment ref="C158" authorId="0" shapeId="0">
      <text>
        <r>
          <rPr>
            <sz val="8"/>
            <color rgb="FF000000"/>
            <rFont val="Tahoma"/>
            <family val="2"/>
          </rPr>
          <t xml:space="preserve">Variabelen må ses på som en indikasjon på hhv. hvor stor del av gjelden som kommunekonsernet må dekke renteutgiftene på selv og hvordan en renteendring vil slå ut på kommunekonsernets økonomi, gjort med utgangspunkt i innrapporterte regnskaper samt tall fra Husbanken og Vegvesenet på rentekompensasjonsordningene. Det vil likevel kunne være noen momenter som gjør at variablene må tolkes med en viss varsomhet. Noen slike momenter kan f.eks. være:¿         VAR-tjenester som er skilt ut i AS vil ikke inngå i konserntallene for langsiktig gjeld, men likevel bli trukket fra i renteeksponerte gjelden, og for disse kommunekonsernene vil variablene undervurdere den den renteeksponerte gjelden/kommunekonsernets netto renteeksponering.¿         Splittingen av IKS-ets gjeld på deltakerkommunene er gjort ut fra eierandel og samsvarer ikke nødvendigvis med hvordan IKS-ets selvkost er fordelt. ¿         Beregningene tar for seg aktiva og passiva som er rentebærende. Det er likevel ikke nødvendigvis fullt samsvar mellom de to sidene til enhver tid. Det vil kunne ta tid før tilskudd og betalingssatser blir justert i samsvar med endringer i rentenivået, og ulike poster kan knytte seg opp til ulike referanserenter for de ulike gebyrene og tilskuddene. Disse referanserentene vil nødvendigvis heller ikke være helt lik kommunekonsernets faktiske lånerente.¿         Utlån som forskutteringer, ansvarlige lån osv. kan være rentefrie. I tillegg kan tjenester som ikke er tatt med her, være relevante å ta med for den enkelte kommune, f.eks. hvis renteutgiftene til utleieboliger som kommunen har lånefinansiert, dekkes gjennom husleien.¿         Det er ikke tatt hensyn til rentebindinger.¿         Det er ikke tatt hensyn til hvordan endringer i renten kan virke inn på forvaltningen av pensjonsmidlene, og i neste omgang pensjonspremiene og ¿kostnadene. Tallene for Oslo omfatter både kommunekonsern og fylkeskonsern, inkludert  rentekompensasjon og bokført verdi for VAR-investeringene. Variabelen kan ikke estimeres på grunn av delberegninger hvor estimat ikke er relevant.
</t>
        </r>
      </text>
    </comment>
    <comment ref="C159" authorId="0" shapeId="0">
      <text>
        <r>
          <rPr>
            <sz val="8"/>
            <color rgb="FF000000"/>
            <rFont val="Tahoma"/>
            <family val="2"/>
          </rPr>
          <t xml:space="preserve">Variabelen må ses på som en indikasjon på hhv. hvor stor del av gjelden som kommunekonsernet må dekke renteutgiftene på selv og hvordan en renteendring vil slå ut på kommunekonsernets økonomi, gjort med utgangspunkt i innrapporterte regnskaper samt tall fra Husbanken og Vegvesenet på rentekompensasjonsordningene. Det vil likevel kunne være noen momenter som gjør at variablene må tolkes med en viss varsomhet. Noen slike momenter kan f.eks. være:¿         VAR-tjenester som er skilt ut i AS vil ikke inngå i konserntallene for langsiktig gjeld, men likevel bli trukket fra i renteeksponerte gjelden, og for disse kommunekonsernene vil variablene undervurdere den den renteeksponerte gjelden/kommunekonsernets netto renteeksponering.¿         Splittingen av IKS-ets gjeld på deltakerkommunene er gjort ut fra eierandel og samsvarer ikke nødvendigvis med hvordan IKS-ets selvkost er fordelt. ¿         Beregningene tar for seg aktiva og passiva som er rentebærende. Det er likevel ikke nødvendigvis fullt samsvar mellom de to sidene til enhver tid. Det vil kunne ta tid før tilskudd og betalingssatser blir justert i samsvar med endringer i rentenivået, og ulike poster kan knytte seg opp til ulike referanserenter for de ulike gebyrene og tilskuddene. Disse referanserentene vil nødvendigvis heller ikke være helt lik kommunekonsernets faktiske lånerente.¿         Utlån som forskutteringer, ansvarlige lån osv. kan være rentefrie. I tillegg kan tjenester som ikke er tatt med her, være relevante å ta med for den enkelte kommune, f.eks. hvis renteutgiftene til utleieboliger som kommunen har lånefinansiert, dekkes gjennom husleien.¿         Det er ikke tatt hensyn til rentebindinger.¿         Det er ikke tatt hensyn til hvordan endringer i renten kan virke inn på forvaltningen av pensjonsmidlene, og i neste omgang pensjonspremiene og ¿kostnadene. Tallene for Oslo omfatter både kommunekonsern og fylkeskonsern, inkludert  rentekompensasjon og bokført verdi for VAR-investeringene. Variabelen kan ikke estimeres på grunn av delberegninger hvor estimat ikke er relevant.
</t>
        </r>
      </text>
    </comment>
    <comment ref="C160" authorId="0" shapeId="0">
      <text>
        <r>
          <rPr>
            <sz val="8"/>
            <color rgb="FF000000"/>
            <rFont val="Tahoma"/>
            <family val="2"/>
          </rPr>
          <t xml:space="preserve">Variabelen må ses på som en indikasjon på hhv. hvor stor del av gjelden som kommunekonsernet må dekke renteutgiftene på selv og hvordan en renteendring vil slå ut på kommunekonsernets økonomi, gjort med utgangspunkt i innrapporterte regnskaper samt tall fra Husbanken og Vegvesenet på rentekompensasjonsordningene. Det vil likevel kunne være noen momenter som gjør at variablene må tolkes med en viss varsomhet. Noen slike momenter kan f.eks. være:¿         VAR-tjenester som er skilt ut i AS vil ikke inngå i konserntallene for langsiktig gjeld, men likevel bli trukket fra i renteeksponerte gjelden, og for disse kommunekonsernene vil variablene undervurdere den den renteeksponerte gjelden/kommunekonsernets netto renteeksponering.¿         Splittingen av IKS-ets gjeld på deltakerkommunene er gjort ut fra eierandel og samsvarer ikke nødvendigvis med hvordan IKS-ets selvkost er fordelt. ¿         Beregningene tar for seg aktiva og passiva som er rentebærende. Det er likevel ikke nødvendigvis fullt samsvar mellom de to sidene til enhver tid. Det vil kunne ta tid før tilskudd og betalingssatser blir justert i samsvar med endringer i rentenivået, og ulike poster kan knytte seg opp til ulike referanserenter for de ulike gebyrene og tilskuddene. Disse referanserentene vil nødvendigvis heller ikke være helt lik kommunekonsernets faktiske lånerente.¿         Utlån som forskutteringer, ansvarlige lån osv. kan være rentefrie. I tillegg kan tjenester som ikke er tatt med her, være relevante å ta med for den enkelte kommune, f.eks. hvis renteutgiftene til utleieboliger som kommunen har lånefinansiert, dekkes gjennom husleien.¿         Det er ikke tatt hensyn til rentebindinger.¿         Det er ikke tatt hensyn til hvordan endringer i renten kan virke inn på forvaltningen av pensjonsmidlene, og i neste omgang pensjonspremiene og ¿kostnadene. Tallene for Oslo omfatter både kommunekonsern og fylkeskonsern, inkludert  rentekompensasjon og bokført verdi for VAR-investeringene. Variabelen kan ikke estimeres på grunn av delberegninger hvor estimat ikke er relevant.
</t>
        </r>
      </text>
    </comment>
    <comment ref="C161" authorId="0" shapeId="0">
      <text>
        <r>
          <rPr>
            <sz val="8"/>
            <color rgb="FF000000"/>
            <rFont val="Tahoma"/>
            <family val="2"/>
          </rPr>
          <t xml:space="preserve">Variabelen må ses på som en indikasjon på hhv. hvor stor del av gjelden som kommunekonsernet må dekke renteutgiftene på selv og hvordan en renteendring vil slå ut på kommunekonsernets økonomi, gjort med utgangspunkt i innrapporterte regnskaper samt tall fra Husbanken og Vegvesenet på rentekompensasjonsordningene. Det vil likevel kunne være noen momenter som gjør at variablene må tolkes med en viss varsomhet. Noen slike momenter kan f.eks. være:¿         VAR-tjenester som er skilt ut i AS vil ikke inngå i konserntallene for langsiktig gjeld, men likevel bli trukket fra i renteeksponerte gjelden, og for disse kommunekonsernene vil variablene undervurdere den den renteeksponerte gjelden/kommunekonsernets netto renteeksponering.¿         Splittingen av IKS-ets gjeld på deltakerkommunene er gjort ut fra eierandel og samsvarer ikke nødvendigvis med hvordan IKS-ets selvkost er fordelt. ¿         Beregningene tar for seg aktiva og passiva som er rentebærende. Det er likevel ikke nødvendigvis fullt samsvar mellom de to sidene til enhver tid. Det vil kunne ta tid før tilskudd og betalingssatser blir justert i samsvar med endringer i rentenivået, og ulike poster kan knytte seg opp til ulike referanserenter for de ulike gebyrene og tilskuddene. Disse referanserentene vil nødvendigvis heller ikke være helt lik kommunekonsernets faktiske lånerente.¿         Utlån som forskutteringer, ansvarlige lån osv. kan være rentefrie. I tillegg kan tjenester som ikke er tatt med her, være relevante å ta med for den enkelte kommune, f.eks. hvis renteutgiftene til utleieboliger som kommunen har lånefinansiert, dekkes gjennom husleien.¿         Det er ikke tatt hensyn til rentebindinger.¿         Det er ikke tatt hensyn til hvordan endringer i renten kan virke inn på forvaltningen av pensjonsmidlene, og i neste omgang pensjonspremiene og ¿kostnadene. Tallene for Oslo omfatter både kommunekonsern og fylkeskonsern, inkludert  rentekompensasjon og bokført verdi for VAR-investeringene. Variabelen kan ikke estimeres på grunn av delberegninger hvor estimat ikke er relevant.
</t>
        </r>
      </text>
    </comment>
    <comment ref="C162" authorId="0" shapeId="0">
      <text>
        <r>
          <rPr>
            <sz val="8"/>
            <color rgb="FF000000"/>
            <rFont val="Tahoma"/>
            <family val="2"/>
          </rPr>
          <t xml:space="preserve">Variabelen må ses på som en indikasjon på hhv. hvor stor del av gjelden som kommunekonsernet må dekke renteutgiftene på selv og hvordan en renteendring vil slå ut på kommunekonsernets økonomi, gjort med utgangspunkt i innrapporterte regnskaper samt tall fra Husbanken og Vegvesenet på rentekompensasjonsordningene. Det vil likevel kunne være noen momenter som gjør at variablene må tolkes med en viss varsomhet. Noen slike momenter kan f.eks. være:¿         VAR-tjenester som er skilt ut i AS vil ikke inngå i konserntallene for langsiktig gjeld, men likevel bli trukket fra i renteeksponerte gjelden, og for disse kommunekonsernene vil variablene undervurdere den den renteeksponerte gjelden/kommunekonsernets netto renteeksponering.¿         Splittingen av IKS-ets gjeld på deltakerkommunene er gjort ut fra eierandel og samsvarer ikke nødvendigvis med hvordan IKS-ets selvkost er fordelt. ¿         Beregningene tar for seg aktiva og passiva som er rentebærende. Det er likevel ikke nødvendigvis fullt samsvar mellom de to sidene til enhver tid. Det vil kunne ta tid før tilskudd og betalingssatser blir justert i samsvar med endringer i rentenivået, og ulike poster kan knytte seg opp til ulike referanserenter for de ulike gebyrene og tilskuddene. Disse referanserentene vil nødvendigvis heller ikke være helt lik kommunekonsernets faktiske lånerente.¿         Utlån som forskutteringer, ansvarlige lån osv. kan være rentefrie. I tillegg kan tjenester som ikke er tatt med her, være relevante å ta med for den enkelte kommune, f.eks. hvis renteutgiftene til utleieboliger som kommunen har lånefinansiert, dekkes gjennom husleien.¿         Det er ikke tatt hensyn til rentebindinger.¿         Det er ikke tatt hensyn til hvordan endringer i renten kan virke inn på forvaltningen av pensjonsmidlene, og i neste omgang pensjonspremiene og ¿kostnadene. Tallene for Oslo omfatter både kommunekonsern og fylkeskonsern, inkludert  rentekompensasjon og bokført verdi for VAR-investeringene. Variabelen kan ikke estimeres på grunn av delberegninger hvor estimat ikke er relevant.
</t>
        </r>
      </text>
    </comment>
    <comment ref="C163" authorId="0" shapeId="0">
      <text>
        <r>
          <rPr>
            <sz val="8"/>
            <color rgb="FF000000"/>
            <rFont val="Tahoma"/>
            <family val="2"/>
          </rPr>
          <t xml:space="preserve">Variabelen må ses på som en indikasjon på hhv. hvor stor del av gjelden som kommunekonsernet må dekke renteutgiftene på selv og hvordan en renteendring vil slå ut på kommunekonsernets økonomi, gjort med utgangspunkt i innrapporterte regnskaper samt tall fra Husbanken og Vegvesenet på rentekompensasjonsordningene. Det vil likevel kunne være noen momenter som gjør at variablene må tolkes med en viss varsomhet. Noen slike momenter kan f.eks. være:¿         VAR-tjenester som er skilt ut i AS vil ikke inngå i konserntallene for langsiktig gjeld, men likevel bli trukket fra i renteeksponerte gjelden, og for disse kommunekonsernene vil variablene undervurdere den den renteeksponerte gjelden/kommunekonsernets netto renteeksponering.¿         Splittingen av IKS-ets gjeld på deltakerkommunene er gjort ut fra eierandel og samsvarer ikke nødvendigvis med hvordan IKS-ets selvkost er fordelt. ¿         Beregningene tar for seg aktiva og passiva som er rentebærende. Det er likevel ikke nødvendigvis fullt samsvar mellom de to sidene til enhver tid. Det vil kunne ta tid før tilskudd og betalingssatser blir justert i samsvar med endringer i rentenivået, og ulike poster kan knytte seg opp til ulike referanserenter for de ulike gebyrene og tilskuddene. Disse referanserentene vil nødvendigvis heller ikke være helt lik kommunekonsernets faktiske lånerente.¿         Utlån som forskutteringer, ansvarlige lån osv. kan være rentefrie. I tillegg kan tjenester som ikke er tatt med her, være relevante å ta med for den enkelte kommune, f.eks. hvis renteutgiftene til utleieboliger som kommunen har lånefinansiert, dekkes gjennom husleien.¿         Det er ikke tatt hensyn til rentebindinger.¿         Det er ikke tatt hensyn til hvordan endringer i renten kan virke inn på forvaltningen av pensjonsmidlene, og i neste omgang pensjonspremiene og ¿kostnadene. Tallene for Oslo omfatter både kommunekonsern og fylkeskonsern, inkludert  rentekompensasjon og bokført verdi for VAR-investeringene. Variabelen kan ikke estimeres på grunn av delberegninger hvor estimat ikke er relevant.
</t>
        </r>
      </text>
    </comment>
    <comment ref="C164" authorId="0" shapeId="0">
      <text>
        <r>
          <rPr>
            <sz val="8"/>
            <color rgb="FF000000"/>
            <rFont val="Tahoma"/>
            <family val="2"/>
          </rPr>
          <t xml:space="preserve">Variabelen må ses på som en indikasjon på hhv. hvor stor del av gjelden som kommunekonsernet må dekke renteutgiftene på selv og hvordan en renteendring vil slå ut på kommunekonsernets økonomi, gjort med utgangspunkt i innrapporterte regnskaper samt tall fra Husbanken og Vegvesenet på rentekompensasjonsordningene. Det vil likevel kunne være noen momenter som gjør at variablene må tolkes med en viss varsomhet. Noen slike momenter kan f.eks. være:¿         VAR-tjenester som er skilt ut i AS vil ikke inngå i konserntallene for langsiktig gjeld, men likevel bli trukket fra i renteeksponerte gjelden, og for disse kommunekonsernene vil variablene undervurdere den den renteeksponerte gjelden/kommunekonsernets netto renteeksponering.¿         Splittingen av IKS-ets gjeld på deltakerkommunene er gjort ut fra eierandel og samsvarer ikke nødvendigvis med hvordan IKS-ets selvkost er fordelt. ¿         Beregningene tar for seg aktiva og passiva som er rentebærende. Det er likevel ikke nødvendigvis fullt samsvar mellom de to sidene til enhver tid. Det vil kunne ta tid før tilskudd og betalingssatser blir justert i samsvar med endringer i rentenivået, og ulike poster kan knytte seg opp til ulike referanserenter for de ulike gebyrene og tilskuddene. Disse referanserentene vil nødvendigvis heller ikke være helt lik kommunekonsernets faktiske lånerente.¿         Utlån som forskutteringer, ansvarlige lån osv. kan være rentefrie. I tillegg kan tjenester som ikke er tatt med her, være relevante å ta med for den enkelte kommune, f.eks. hvis renteutgiftene til utleieboliger som kommunen har lånefinansiert, dekkes gjennom husleien.¿         Det er ikke tatt hensyn til rentebindinger.¿         Det er ikke tatt hensyn til hvordan endringer i renten kan virke inn på forvaltningen av pensjonsmidlene, og i neste omgang pensjonspremiene og ¿kostnadene. Tallene for Oslo omfatter både kommunekonsern og fylkeskonsern, inkludert  rentekompensasjon og bokført verdi for VAR-investeringene. Variabelen kan ikke estimeres på grunn av delberegninger hvor estimat ikke er relevant.
</t>
        </r>
      </text>
    </comment>
    <comment ref="C165" authorId="0" shapeId="0">
      <text>
        <r>
          <rPr>
            <sz val="8"/>
            <color rgb="FF000000"/>
            <rFont val="Tahoma"/>
            <family val="2"/>
          </rPr>
          <t xml:space="preserve">Variabelen må ses på som en indikasjon på hhv. hvor stor del av gjelden som kommunekonsernet må dekke renteutgiftene på selv og hvordan en renteendring vil slå ut på kommunekonsernets økonomi, gjort med utgangspunkt i innrapporterte regnskaper samt tall fra Husbanken og Vegvesenet på rentekompensasjonsordningene. Det vil likevel kunne være noen momenter som gjør at variablene må tolkes med en viss varsomhet. Noen slike momenter kan f.eks. være:¿         VAR-tjenester som er skilt ut i AS vil ikke inngå i konserntallene for langsiktig gjeld, men likevel bli trukket fra i renteeksponerte gjelden, og for disse kommunekonsernene vil variablene undervurdere den den renteeksponerte gjelden/kommunekonsernets netto renteeksponering.¿         Splittingen av IKS-ets gjeld på deltakerkommunene er gjort ut fra eierandel og samsvarer ikke nødvendigvis med hvordan IKS-ets selvkost er fordelt. ¿         Beregningene tar for seg aktiva og passiva som er rentebærende. Det er likevel ikke nødvendigvis fullt samsvar mellom de to sidene til enhver tid. Det vil kunne ta tid før tilskudd og betalingssatser blir justert i samsvar med endringer i rentenivået, og ulike poster kan knytte seg opp til ulike referanserenter for de ulike gebyrene og tilskuddene. Disse referanserentene vil nødvendigvis heller ikke være helt lik kommunekonsernets faktiske lånerente.¿         Utlån som forskutteringer, ansvarlige lån osv. kan være rentefrie. I tillegg kan tjenester som ikke er tatt med her, være relevante å ta med for den enkelte kommune, f.eks. hvis renteutgiftene til utleieboliger som kommunen har lånefinansiert, dekkes gjennom husleien.¿         Det er ikke tatt hensyn til rentebindinger.¿         Det er ikke tatt hensyn til hvordan endringer i renten kan virke inn på forvaltningen av pensjonsmidlene, og i neste omgang pensjonspremiene og ¿kostnadene. Tallene for Oslo omfatter både kommunekonsern og fylkeskonsern, inkludert  rentekompensasjon og bokført verdi for VAR-investeringene. Variabelen kan ikke estimeres på grunn av delberegninger hvor estimat ikke er relevant.
</t>
        </r>
      </text>
    </comment>
    <comment ref="C166" authorId="0" shapeId="0">
      <text>
        <r>
          <rPr>
            <sz val="8"/>
            <color rgb="FF000000"/>
            <rFont val="Tahoma"/>
            <family val="2"/>
          </rPr>
          <t xml:space="preserve">Variabelen må ses på som en indikasjon på hhv. hvor stor del av gjelden som kommunekonsernet må dekke renteutgiftene på selv og hvordan en renteendring vil slå ut på kommunekonsernets økonomi, gjort med utgangspunkt i innrapporterte regnskaper samt tall fra Husbanken og Vegvesenet på rentekompensasjonsordningene. Det vil likevel kunne være noen momenter som gjør at variablene må tolkes med en viss varsomhet. Noen slike momenter kan f.eks. være:¿         VAR-tjenester som er skilt ut i AS vil ikke inngå i konserntallene for langsiktig gjeld, men likevel bli trukket fra i renteeksponerte gjelden, og for disse kommunekonsernene vil variablene undervurdere den den renteeksponerte gjelden/kommunekonsernets netto renteeksponering.¿         Splittingen av IKS-ets gjeld på deltakerkommunene er gjort ut fra eierandel og samsvarer ikke nødvendigvis med hvordan IKS-ets selvkost er fordelt. ¿         Beregningene tar for seg aktiva og passiva som er rentebærende. Det er likevel ikke nødvendigvis fullt samsvar mellom de to sidene til enhver tid. Det vil kunne ta tid før tilskudd og betalingssatser blir justert i samsvar med endringer i rentenivået, og ulike poster kan knytte seg opp til ulike referanserenter for de ulike gebyrene og tilskuddene. Disse referanserentene vil nødvendigvis heller ikke være helt lik kommunekonsernets faktiske lånerente.¿         Utlån som forskutteringer, ansvarlige lån osv. kan være rentefrie. I tillegg kan tjenester som ikke er tatt med her, være relevante å ta med for den enkelte kommune, f.eks. hvis renteutgiftene til utleieboliger som kommunen har lånefinansiert, dekkes gjennom husleien.¿         Det er ikke tatt hensyn til rentebindinger.¿         Det er ikke tatt hensyn til hvordan endringer i renten kan virke inn på forvaltningen av pensjonsmidlene, og i neste omgang pensjonspremiene og ¿kostnadene. Tallene for Oslo omfatter både kommunekonsern og fylkeskonsern, inkludert  rentekompensasjon og bokført verdi for VAR-investeringene. Variabelen kan ikke estimeres på grunn av delberegninger hvor estimat ikke er relevant.
</t>
        </r>
      </text>
    </comment>
  </commentList>
</comments>
</file>

<file path=xl/comments5.xml><?xml version="1.0" encoding="utf-8"?>
<comments xmlns="http://schemas.openxmlformats.org/spreadsheetml/2006/main">
  <authors>
    <author>Riise, Marianne Winther</author>
  </authors>
  <commentList>
    <comment ref="E29" authorId="0" shapeId="0">
      <text>
        <r>
          <rPr>
            <b/>
            <sz val="9"/>
            <color indexed="81"/>
            <rFont val="Tahoma"/>
            <family val="2"/>
          </rPr>
          <t>Riise, Marianne Winther:</t>
        </r>
        <r>
          <rPr>
            <sz val="9"/>
            <color indexed="81"/>
            <rFont val="Tahoma"/>
            <family val="2"/>
          </rPr>
          <t xml:space="preserve">
Har tatt ut prikkede kommuner i totalt antall sosialhjelpstilfeller
</t>
        </r>
      </text>
    </comment>
  </commentList>
</comments>
</file>

<file path=xl/comments6.xml><?xml version="1.0" encoding="utf-8"?>
<comments xmlns="http://schemas.openxmlformats.org/spreadsheetml/2006/main">
  <authors>
    <author>NETWORK SERVICE</author>
  </authors>
  <commentList>
    <comment ref="G3" authorId="0" shapeId="0">
      <text>
        <r>
          <rPr>
            <sz val="8"/>
            <color rgb="FF000000"/>
            <rFont val="Tahoma"/>
            <family val="2"/>
          </rPr>
          <t xml:space="preserve">Fra og med 2013 er også tiltaksstillinger på funksjon 252 inkludert. Fra og med 2012 er tiltaksstillinger på funksjon 251 inkludert i tillegg til saksbehandler-/administrasjonsstillinger på funksjon 244.
</t>
        </r>
      </text>
    </comment>
  </commentList>
</comments>
</file>

<file path=xl/comments7.xml><?xml version="1.0" encoding="utf-8"?>
<comments xmlns="http://schemas.openxmlformats.org/spreadsheetml/2006/main">
  <authors>
    <author>NETWORK SERVICE</author>
  </authors>
  <commentList>
    <comment ref="C1" authorId="0" shapeId="0">
      <text>
        <r>
          <rPr>
            <sz val="8"/>
            <color rgb="FF000000"/>
            <rFont val="Tahoma"/>
            <family val="2"/>
          </rPr>
          <t xml:space="preserve">Fra og med 2010, er driftsansvar privat inkludert i indikatoren.
</t>
        </r>
      </text>
    </comment>
    <comment ref="D1" authorId="0" shapeId="0">
      <text>
        <r>
          <rPr>
            <sz val="8"/>
            <color rgb="FF000000"/>
            <rFont val="Tahoma"/>
            <family val="2"/>
          </rPr>
          <t xml:space="preserve">Fra og med 2010 er driftsansvar privat inkludert i teller og nevner.
</t>
        </r>
      </text>
    </comment>
    <comment ref="G1" authorId="0" shapeId="0">
      <text>
        <r>
          <rPr>
            <sz val="8"/>
            <color rgb="FF000000"/>
            <rFont val="Tahoma"/>
            <family val="2"/>
          </rPr>
          <t xml:space="preserve">Det er brudd i tidsserien fra 2006 til 2007. Dette skyldes at metoden for beregning av grunnskolepoeng er endret. T.o.m. 2006 ble grunnskolepoeng beregnet som summen av elevenes karakterer i 11 fag. F.o.m. 2007 summeres alle tallkarakterene og deretter deles på antall karakterer. Dette gjennomsnittet, med to desimaler, multipliseres med 10. Det er brudd i tidsserien fra 2007 til 2008. F.o.m 2008 blir alle elever med grunnskolepoeng=0 holdt utenfor. (Dvs. elever som har færre enn 8 karakterer blir holdt utenfor). Ved publiseringen i 2013 blir det publisert tall for landet og fylker for denne indikatoren.
</t>
        </r>
      </text>
    </comment>
    <comment ref="H1" authorId="0" shapeId="0">
      <text>
        <r>
          <rPr>
            <sz val="8"/>
            <color rgb="FF000000"/>
            <rFont val="Tahoma"/>
            <family val="2"/>
          </rPr>
          <t xml:space="preserve">På grunn av kommunesammenslåingen mellom 1723 Mosvik og 1729 Inderøy 1.1 2012, vil alle personelldata i 2011 være ført på 1729 Inderøy.På grunn av kommunesammenslåingen mellom 1901 Harstad og 1915 Bjarkøy 1.1 2013, vil alle personelldata i 2012 være ført på 1901 Harstad.
</t>
        </r>
      </text>
    </comment>
  </commentList>
</comments>
</file>

<file path=xl/comments8.xml><?xml version="1.0" encoding="utf-8"?>
<comments xmlns="http://schemas.openxmlformats.org/spreadsheetml/2006/main">
  <authors>
    <author>NETWORK SERVICE</author>
  </authors>
  <commentList>
    <comment ref="F1" authorId="0" shapeId="0">
      <text>
        <r>
          <rPr>
            <sz val="8"/>
            <color rgb="FF000000"/>
            <rFont val="Tahoma"/>
            <family val="2"/>
          </rPr>
          <t xml:space="preserve">Fra og med 2008 utgår stillingskategorien 'styrerassistenter' fra skjemaet 'Årsmelding for barnehager per 15.12. Ressurser til det som tidligere var 'styrerassistent' inngår f.o.m 2008 i stillingskategorien 'styrer'.
</t>
        </r>
      </text>
    </comment>
    <comment ref="F2" authorId="0" shapeId="0">
      <text>
        <r>
          <rPr>
            <sz val="8"/>
            <color rgb="FF000000"/>
            <rFont val="Tahoma"/>
            <family val="2"/>
          </rPr>
          <t xml:space="preserve">Fra og med 2008 utgår stillingskategorien 'styrerassistenter' fra skjemaet 'Årsmelding for barnehager per 15.12. Ressurser til det som tidligere var 'styrerassistent' inngår f.o.m 2008 i stillingskategorien 'styrer'.
</t>
        </r>
      </text>
    </comment>
  </commentList>
</comments>
</file>

<file path=xl/comments9.xml><?xml version="1.0" encoding="utf-8"?>
<comments xmlns="http://schemas.openxmlformats.org/spreadsheetml/2006/main">
  <authors>
    <author>NETWORK SERVICE</author>
  </authors>
  <commentList>
    <comment ref="D32" authorId="0" shapeId="0">
      <text>
        <r>
          <rPr>
            <sz val="8"/>
            <color rgb="FF000000"/>
            <rFont val="Tahoma"/>
            <family val="2"/>
          </rPr>
          <t xml:space="preserve">Fra og med regnskapsåret 2014 utgår a728 momskompensasjon påløpt i investeringsregnskapet fra beregningen. Momskompensasjonen påløpt i investeringsregnskapet føres nå i investeringsregnskapet, kontoklasse 0 og 4 og art 729. Dette gir et brudd i tidsserien og medfører at variabelverdien vil bli lavere.
</t>
        </r>
      </text>
    </comment>
    <comment ref="K32" authorId="0" shapeId="0">
      <text>
        <r>
          <rPr>
            <sz val="8"/>
            <color rgb="FF000000"/>
            <rFont val="Tahoma"/>
            <family val="2"/>
          </rPr>
          <t xml:space="preserve">Fra og med regnskapsåret 2014 utgår a728 momskompensasjon påløpt i investeringsregnskapet fra beregningen. Momskompensasjonen påløpt i investeringsregnskapet føres nå i investeringsregnskapet, kontoklasse 0 og art 729. Dette gir et brudd i tidsserien og medfører at variabelverdien vil bli lavere.
</t>
        </r>
      </text>
    </comment>
    <comment ref="M35" authorId="0" shapeId="0">
      <text>
        <r>
          <rPr>
            <sz val="8"/>
            <color rgb="FF000000"/>
            <rFont val="Tahoma"/>
            <family val="2"/>
          </rPr>
          <t xml:space="preserve">1. januar 2013 ble kommunene 1901 Harstad og 1915 Bjarkøy slått sammen til en ny kommune 1903 Harstad.
</t>
        </r>
      </text>
    </comment>
    <comment ref="B68" authorId="0" shapeId="0">
      <text>
        <r>
          <rPr>
            <sz val="8"/>
            <color rgb="FF000000"/>
            <rFont val="Tahoma"/>
            <family val="2"/>
          </rPr>
          <t xml:space="preserve">Fra og med regnskapsåret 2014 utgår mva-kompensasjon påløpt i investeringsregnskapet fra beregningen av brutto driftsinntekter. Dette gir et brudd i tidsserien og medfører isolert sett at brutto driftsinntekter blir lavere og dermed at indikatorverdien blir høyere.
</t>
        </r>
      </text>
    </comment>
    <comment ref="C68" authorId="0" shapeId="0">
      <text>
        <r>
          <rPr>
            <sz val="8"/>
            <color rgb="FF000000"/>
            <rFont val="Tahoma"/>
            <family val="2"/>
          </rPr>
          <t xml:space="preserve">Fra og med regnskapsåret 2014 utgår mva-kompensasjon påløpt i investeringsregnskapet fra beregningen av brutto driftsinntekter. Dette gir et brudd i tidsserien og medfører isolert sett at brutto driftsinntekter blir lavere og dermed at indikatorverdien blir høyere.
</t>
        </r>
      </text>
    </comment>
    <comment ref="D68" authorId="0" shapeId="0">
      <text>
        <r>
          <rPr>
            <sz val="8"/>
            <color rgb="FF000000"/>
            <rFont val="Tahoma"/>
            <family val="2"/>
          </rPr>
          <t xml:space="preserve">Fra og med regnskapsåret 2014 utgår mva-kompensasjon påløpt i investeringsregnskapet fra beregningen av brutto driftsinntekter. Dette gir et brudd i tidsserien og medfører isolert sett at brutto driftsinntekter blir lavere og dermed at indikatorverdien blir høyere.
</t>
        </r>
      </text>
    </comment>
    <comment ref="E68" authorId="0" shapeId="0">
      <text>
        <r>
          <rPr>
            <sz val="8"/>
            <color rgb="FF000000"/>
            <rFont val="Tahoma"/>
            <family val="2"/>
          </rPr>
          <t xml:space="preserve">Fra og med regnskapsåret 2014 utgår mva-kompensasjon påløpt i investeringsregnskapet fra beregningen av brutto driftsinntekter. Dette gir et brudd i tidsserien og medfører isolert sett at brutto driftsinntekter blir lavere og dermed at indikatorverdien blir høyere.
</t>
        </r>
      </text>
    </comment>
    <comment ref="F68" authorId="0" shapeId="0">
      <text>
        <r>
          <rPr>
            <sz val="8"/>
            <color rgb="FF000000"/>
            <rFont val="Tahoma"/>
            <family val="2"/>
          </rPr>
          <t xml:space="preserve">Fra og med regnskapsåret 2014 utgår mva-kompensasjon påløpt i investeringsregnskapet fra beregningen av brutto driftsinntekter. Dette gir et brudd i tidsserien og medfører isolert sett at brutto driftsinntekter blir lavere og dermed at indikatorverdien blir høyere.
</t>
        </r>
      </text>
    </comment>
    <comment ref="G68" authorId="0" shapeId="0">
      <text>
        <r>
          <rPr>
            <sz val="8"/>
            <color rgb="FF000000"/>
            <rFont val="Tahoma"/>
            <family val="2"/>
          </rPr>
          <t xml:space="preserve">Fra og med regnskapsåret 2014 utgår momskompensasjon påløpt i investeringsregnskapet fra beregningen av andre driftsinnekter og fra beregningen av brutto driftsinntekter. Dette gir et brudd i tidsserien og medfører at indikatorverdiene vil bli lavere.Variabelen har endret definisjon til publiseringen 15.03.2015 ved at inntekter fra konsesjonskraft, kraftrettigheter og annen kraft for videresalg er trukket ut som egen indikator.
</t>
        </r>
      </text>
    </comment>
    <comment ref="K68" authorId="0" shapeId="0">
      <text>
        <r>
          <rPr>
            <sz val="8"/>
            <color rgb="FF000000"/>
            <rFont val="Tahoma"/>
            <family val="2"/>
          </rPr>
          <t xml:space="preserve">Fra og med regnskapsåret 2014 utgår a728 momskompensasjon påløpt i investeringsregnskapet fra beregningen. Momskompensasjonen påløpt i investeringsregnskapet føres nå i investeringsregnskapet, kontoklasse 0 og art 729. Dette gir et brudd i tidsserien og medfører at variabelverdien vil bli lavere.
</t>
        </r>
      </text>
    </comment>
  </commentList>
</comments>
</file>

<file path=xl/sharedStrings.xml><?xml version="1.0" encoding="utf-8"?>
<sst xmlns="http://schemas.openxmlformats.org/spreadsheetml/2006/main" count="1812" uniqueCount="526">
  <si>
    <t>Kommune-nummer</t>
  </si>
  <si>
    <t>Navn</t>
  </si>
  <si>
    <t>KOSTRA-gruppe</t>
  </si>
  <si>
    <t>Ordfører</t>
  </si>
  <si>
    <t>Varaordfører</t>
  </si>
  <si>
    <t>Rådmann</t>
  </si>
  <si>
    <t>Harstad</t>
  </si>
  <si>
    <t>Marianne Bremnes</t>
  </si>
  <si>
    <t>Jan Fjellstad</t>
  </si>
  <si>
    <t>Hugo Thode Hansen</t>
  </si>
  <si>
    <t>Tromsø</t>
  </si>
  <si>
    <t>Jens Johan Hjort</t>
  </si>
  <si>
    <t>Anni Skogman</t>
  </si>
  <si>
    <t>Frp</t>
  </si>
  <si>
    <t>Kvæfjord</t>
  </si>
  <si>
    <t>Torbjørn Larsen</t>
  </si>
  <si>
    <t>Karin Johansen</t>
  </si>
  <si>
    <t>Sp</t>
  </si>
  <si>
    <t>Skånland</t>
  </si>
  <si>
    <t>Einar Aune</t>
  </si>
  <si>
    <t>Merete Hessen</t>
  </si>
  <si>
    <t>Ibestad</t>
  </si>
  <si>
    <t>Dag Sigurd Brustind</t>
  </si>
  <si>
    <t xml:space="preserve">Roy-Helge Andreassen </t>
  </si>
  <si>
    <t>Gratangen</t>
  </si>
  <si>
    <t>Ronny Grindsten</t>
  </si>
  <si>
    <t>Elin Wilsgård</t>
  </si>
  <si>
    <t>Lavangen</t>
  </si>
  <si>
    <t>Erling Bratsberg</t>
  </si>
  <si>
    <t>Svein Sæther</t>
  </si>
  <si>
    <t>Bardu</t>
  </si>
  <si>
    <t>Arne Nysted</t>
  </si>
  <si>
    <t>Liv Marit Bobakk</t>
  </si>
  <si>
    <t>Hege Walør Fagertun</t>
  </si>
  <si>
    <t>Salangen</t>
  </si>
  <si>
    <t>Ronny Karlsen</t>
  </si>
  <si>
    <t>Målselv</t>
  </si>
  <si>
    <t>Helene Rognli</t>
  </si>
  <si>
    <t>Bengt Magne Luneng</t>
  </si>
  <si>
    <t>Sørreisa</t>
  </si>
  <si>
    <t>Paul Dahlø</t>
  </si>
  <si>
    <t>Ole Georg Koch</t>
  </si>
  <si>
    <t>Dyrøy</t>
  </si>
  <si>
    <t>Randi Lillegård</t>
  </si>
  <si>
    <t>Ellen Mikalsen Hals</t>
  </si>
  <si>
    <t>Tranøy</t>
  </si>
  <si>
    <t>Odd Arne Andreassen</t>
  </si>
  <si>
    <t>Ragnar Svendsen</t>
  </si>
  <si>
    <t>Alf Rørbakk</t>
  </si>
  <si>
    <t>Torsken</t>
  </si>
  <si>
    <t>Fred Flakstad</t>
  </si>
  <si>
    <t>Hans Peder Pedersen</t>
  </si>
  <si>
    <t>Lena Hansson</t>
  </si>
  <si>
    <t>Berg</t>
  </si>
  <si>
    <t>Guttorm Nergård</t>
  </si>
  <si>
    <t>Roar Åge Jakobsen</t>
  </si>
  <si>
    <t>Lenvik</t>
  </si>
  <si>
    <t>Geir-Inge Sivertsen</t>
  </si>
  <si>
    <t>Gunnleif Alfredsen</t>
  </si>
  <si>
    <t>Margrethe Hagerupsen</t>
  </si>
  <si>
    <t>Balsfjord</t>
  </si>
  <si>
    <t>Ole-Johan Rødvei</t>
  </si>
  <si>
    <t>Karlsøy</t>
  </si>
  <si>
    <t>Hanny Ditlefsen</t>
  </si>
  <si>
    <t>Frank Harry Pettersen</t>
  </si>
  <si>
    <t>Jan Hugo Sørensen</t>
  </si>
  <si>
    <t>Lyngen</t>
  </si>
  <si>
    <t>Sølvi Jensen</t>
  </si>
  <si>
    <t>Karl Arvid Brose</t>
  </si>
  <si>
    <t>Leif Lintho</t>
  </si>
  <si>
    <t>Storfjord</t>
  </si>
  <si>
    <t>Sigmund Steinnes</t>
  </si>
  <si>
    <t xml:space="preserve">Inger Heiskel </t>
  </si>
  <si>
    <t>Gaivuotna Kåfjord</t>
  </si>
  <si>
    <t>Bjørn Inge Mo</t>
  </si>
  <si>
    <t>Svein O. Leiros</t>
  </si>
  <si>
    <t>Einar Pedersen</t>
  </si>
  <si>
    <t>Skjervøy</t>
  </si>
  <si>
    <t>Torgeir Johnsen</t>
  </si>
  <si>
    <t>Ingrid Lønhaug</t>
  </si>
  <si>
    <t>SV</t>
  </si>
  <si>
    <t>Nordreisa</t>
  </si>
  <si>
    <t>Lidvart Jakobsen</t>
  </si>
  <si>
    <t>Halvar Wahlgren</t>
  </si>
  <si>
    <t>Kvænangen</t>
  </si>
  <si>
    <t>Jan Helge Jensen</t>
  </si>
  <si>
    <t>Gøril Severinsen</t>
  </si>
  <si>
    <t>troms</t>
  </si>
  <si>
    <t>Troms</t>
  </si>
  <si>
    <t>landet</t>
  </si>
  <si>
    <t>Landet</t>
  </si>
  <si>
    <t>Høyre</t>
  </si>
  <si>
    <t>Kystpartiet</t>
  </si>
  <si>
    <t>Rødt</t>
  </si>
  <si>
    <t>Sammensetning k-styre 2011-2015</t>
  </si>
  <si>
    <t>Gáivuotna Kåfjord</t>
  </si>
  <si>
    <t>Kommunenr.</t>
  </si>
  <si>
    <t>Kommune</t>
  </si>
  <si>
    <t>Befolkningsutvikling</t>
  </si>
  <si>
    <t>Folketallet pr 31.12 i året</t>
  </si>
  <si>
    <t>Gaivuotna-Kåfjord</t>
  </si>
  <si>
    <t>Kom.nr</t>
  </si>
  <si>
    <t>Kom.navn</t>
  </si>
  <si>
    <t>Ordførers parti</t>
  </si>
  <si>
    <t>Varaordførers parti</t>
  </si>
  <si>
    <t>Ordfører:</t>
  </si>
  <si>
    <t>Sammensetning av kommunestyret 2011-2015</t>
  </si>
  <si>
    <t>Venstre</t>
  </si>
  <si>
    <t>De Grønne</t>
  </si>
  <si>
    <t>2011</t>
  </si>
  <si>
    <t>:</t>
  </si>
  <si>
    <t>Kommunenr</t>
  </si>
  <si>
    <t>Landareal</t>
  </si>
  <si>
    <t>Ferskvatn</t>
  </si>
  <si>
    <r>
      <t>Totalt areal (km</t>
    </r>
    <r>
      <rPr>
        <b/>
        <vertAlign val="superscript"/>
        <sz val="11"/>
        <color theme="1"/>
        <rFont val="Calibri"/>
        <family val="2"/>
        <scheme val="minor"/>
      </rPr>
      <t>2</t>
    </r>
    <r>
      <rPr>
        <b/>
        <sz val="11"/>
        <color theme="1"/>
        <rFont val="Calibri"/>
        <family val="2"/>
        <scheme val="minor"/>
      </rPr>
      <t>)</t>
    </r>
  </si>
  <si>
    <r>
      <t>Areal (km</t>
    </r>
    <r>
      <rPr>
        <vertAlign val="superscript"/>
        <sz val="11"/>
        <color theme="1"/>
        <rFont val="Calibri"/>
        <family val="2"/>
        <scheme val="minor"/>
      </rPr>
      <t>2</t>
    </r>
    <r>
      <rPr>
        <sz val="11"/>
        <color theme="1"/>
        <rFont val="Calibri"/>
        <family val="2"/>
        <scheme val="minor"/>
      </rPr>
      <t>)</t>
    </r>
  </si>
  <si>
    <t>Befolkningstetthet</t>
  </si>
  <si>
    <t>Befolkningsutvikling siste 10 år</t>
  </si>
  <si>
    <t>Folkemengden i alt</t>
  </si>
  <si>
    <t>Andel kvinner</t>
  </si>
  <si>
    <t>Andel menn</t>
  </si>
  <si>
    <t>Andel 0 åringer</t>
  </si>
  <si>
    <t>Andel 1-5 år</t>
  </si>
  <si>
    <t>Andel 6-15 år</t>
  </si>
  <si>
    <t>Andel 16-18 år</t>
  </si>
  <si>
    <t>Andel 19-24 år</t>
  </si>
  <si>
    <t>Andel 25-66 år</t>
  </si>
  <si>
    <t>Andel 67-79 år</t>
  </si>
  <si>
    <t>Andel 80 år og over</t>
  </si>
  <si>
    <t>Andel skilte og separerte 16-66 år</t>
  </si>
  <si>
    <t>Andel enslige forsørgere med stønad fra folketrygden</t>
  </si>
  <si>
    <t>Andel uførepensjonister 16-66 år</t>
  </si>
  <si>
    <t>Andel enslige innbyggere 80 år og over</t>
  </si>
  <si>
    <t>Forventet levealder ved fødsel, kvinner</t>
  </si>
  <si>
    <t>Forventet levealder ved fødsel, menn</t>
  </si>
  <si>
    <t>Levendefødte per 1000 innbyggere</t>
  </si>
  <si>
    <t>Døde per 1000 innbyggere</t>
  </si>
  <si>
    <t>Innflytting per 1000 innbyggere</t>
  </si>
  <si>
    <t>Utflytting per 1000 innbyggere</t>
  </si>
  <si>
    <t>Samlet fruktbarhetstall</t>
  </si>
  <si>
    <t>Andel innvandrerbefolkning</t>
  </si>
  <si>
    <t>Andel innvandrerbefolkning 0-5 år</t>
  </si>
  <si>
    <t>Andel innvandrerbefolkning 1-5 år</t>
  </si>
  <si>
    <t>Andel innvandrerbefolkning 0-16 år</t>
  </si>
  <si>
    <t>Andel av befolkningen som bor i tettsteder</t>
  </si>
  <si>
    <t>Gjennomsnittlig reisetid til kommunesenteret i minutter</t>
  </si>
  <si>
    <t>Andel av befolkningen 20 - 66 år som pendler ut av bostedskommunen</t>
  </si>
  <si>
    <t>Andel enslige forsørgere med stønad fra folketrygden:</t>
  </si>
  <si>
    <t xml:space="preserve">For 2001 er dataene opprinnelig hentet ut etter kommuneinndelingen </t>
  </si>
  <si>
    <t xml:space="preserve">for 2002. For Våle vises derfor tallet for Re kommune, mens Ramnes </t>
  </si>
  <si>
    <t>mangler data.</t>
  </si>
  <si>
    <t>Andel uførepensjonister 16-66 år:</t>
  </si>
  <si>
    <t xml:space="preserve">Mottakere av tidsbegrenset uførestønad er per 30.11.2007I tallene for </t>
  </si>
  <si>
    <t>2008 er ikke tidsbegrenset uførestønad tatt med.</t>
  </si>
  <si>
    <t>Levendefødte per 1000 innbyggere:</t>
  </si>
  <si>
    <t xml:space="preserve">På bydel benyttes antall fødte i løpet av året 2010 som foreløpige </t>
  </si>
  <si>
    <t>tall for 2011.</t>
  </si>
  <si>
    <t>Døde per 1000 innbyggere:</t>
  </si>
  <si>
    <t xml:space="preserve">På bydel benyttes antall døde i løpet av året 2010 som foreløpige </t>
  </si>
  <si>
    <t>Samlet fruktbarhetstall:</t>
  </si>
  <si>
    <t>Tallene er et gjennomsnitt for de fem siste årene.</t>
  </si>
  <si>
    <t>Gjennomsnittlig reisetid til kommunesenteret i minutter:</t>
  </si>
  <si>
    <t xml:space="preserve">Reisetid til kommunesenteret er for 2005 beregnet etter </t>
  </si>
  <si>
    <t xml:space="preserve">kommuneinndelingen som var gjeldende fra 01.01.2006, følgelig vil det </t>
  </si>
  <si>
    <t xml:space="preserve">for rapporteringsåret 2005 ikke vises tall for 1154 Vindafjord, 1159 </t>
  </si>
  <si>
    <t>Ølen, 1569 Aure og 1572 Tustna.</t>
  </si>
  <si>
    <t>Andel av befolkningen 20 - 66 år som pendler ut av bostedskommunen:</t>
  </si>
  <si>
    <t xml:space="preserve">For 1556 Frei er 2007-dataene er delvis rapportert etter </t>
  </si>
  <si>
    <t xml:space="preserve">kommuneinndelingen per 1.1.2008. For 1503 Krisiansund vises derfor </t>
  </si>
  <si>
    <t xml:space="preserve">tall for både Kristiansund og Frei.2001-dataene er opprinnelig hentet </t>
  </si>
  <si>
    <t xml:space="preserve">ut etter kommuneinndelingen for 2002. For Våle og Ramnes vises derfor </t>
  </si>
  <si>
    <t>tallet for Re kommune.</t>
  </si>
  <si>
    <t>B. Behovsprofil - nivå 2 (K) etter region, tid og statistikkvariabel</t>
  </si>
  <si>
    <t xml:space="preserve">EAKUO </t>
  </si>
  <si>
    <t>Landet uten Oslo</t>
  </si>
  <si>
    <t>EKA19</t>
  </si>
  <si>
    <t>Kostragruppe 02</t>
  </si>
  <si>
    <t>Kostragruppe 03</t>
  </si>
  <si>
    <t>Kostragruppe 05</t>
  </si>
  <si>
    <t>Kostragruppe 06</t>
  </si>
  <si>
    <t>Kostragruppe 11</t>
  </si>
  <si>
    <t>Kostragruppe 12</t>
  </si>
  <si>
    <t>Kostragruppe 13</t>
  </si>
  <si>
    <t>Framskrevet folkemengde, etter region, alder, tid  og  statistikkvariabel</t>
  </si>
  <si>
    <t>2020</t>
  </si>
  <si>
    <t>2030</t>
  </si>
  <si>
    <t>2040</t>
  </si>
  <si>
    <t>Middels nasjonal vekst (Alternativ MMMM)</t>
  </si>
  <si>
    <t>0-5 år</t>
  </si>
  <si>
    <t>6-15 år</t>
  </si>
  <si>
    <t>16-66 år</t>
  </si>
  <si>
    <t>67 år eller eldre</t>
  </si>
  <si>
    <t>Aldersgruppe</t>
  </si>
  <si>
    <t>Befolkningsprognose</t>
  </si>
  <si>
    <t>2008</t>
  </si>
  <si>
    <t>2009</t>
  </si>
  <si>
    <t>2010</t>
  </si>
  <si>
    <t>EAKUO</t>
  </si>
  <si>
    <t>Gj.snitt Troms</t>
  </si>
  <si>
    <t>Nøkkeltall</t>
  </si>
  <si>
    <t>Disposisjonsfond i prosent av brutto driftsinntekter</t>
  </si>
  <si>
    <t>Netto driftsresultat i prosent av brutto driftsinntekter</t>
  </si>
  <si>
    <t>Netto lånegjeld i prosent av brutto driftsinntekter</t>
  </si>
  <si>
    <t>Økonomiske nøkkeltall</t>
  </si>
  <si>
    <t xml:space="preserve">Kommune: </t>
  </si>
  <si>
    <t xml:space="preserve"> 1-5 år</t>
  </si>
  <si>
    <t xml:space="preserve"> 6-15 år</t>
  </si>
  <si>
    <t xml:space="preserve"> 16-18 år</t>
  </si>
  <si>
    <t xml:space="preserve"> 19-24 år</t>
  </si>
  <si>
    <t xml:space="preserve"> 25-66 år</t>
  </si>
  <si>
    <t xml:space="preserve"> 67-79 år</t>
  </si>
  <si>
    <t xml:space="preserve"> 80 år og over</t>
  </si>
  <si>
    <t xml:space="preserve"> 0-åringer</t>
  </si>
  <si>
    <t>Faktaark - kommuneøkonomi</t>
  </si>
  <si>
    <t>Netto lånegjeld pr innbygger</t>
  </si>
  <si>
    <t>Netto lånegjeld i kroner per innbygger, konsern</t>
  </si>
  <si>
    <t>Døde</t>
  </si>
  <si>
    <t>Innvandring</t>
  </si>
  <si>
    <t>Utvandring</t>
  </si>
  <si>
    <t>Nettoinnflytting, inkl. inn- og utvandring</t>
  </si>
  <si>
    <t>Fødte</t>
  </si>
  <si>
    <t>Fødselsoverskudd</t>
  </si>
  <si>
    <t>Innflytting, innenlandsk</t>
  </si>
  <si>
    <t>Utflytting, innenlandsk</t>
  </si>
  <si>
    <t>Befolkningsvekst 1.1.2011-1.4.2012</t>
  </si>
  <si>
    <t>Andel pendlere av yrkesaktive</t>
  </si>
  <si>
    <t>Gj.snittlig reisetid til kommunesenteret i min.</t>
  </si>
  <si>
    <t>Administrasjon og styring</t>
  </si>
  <si>
    <t>Barnehage</t>
  </si>
  <si>
    <t>Grunnskole</t>
  </si>
  <si>
    <t>Pleie og omsorg</t>
  </si>
  <si>
    <t>Sosialtjenesten</t>
  </si>
  <si>
    <t>Barnevern</t>
  </si>
  <si>
    <t>VAR-sektoren</t>
  </si>
  <si>
    <t>Fys.planl./kult.minne/natur/nærmiljø</t>
  </si>
  <si>
    <t>Kultur</t>
  </si>
  <si>
    <t>Kirke</t>
  </si>
  <si>
    <t>Samferdsel</t>
  </si>
  <si>
    <t>Bolig</t>
  </si>
  <si>
    <t>Næring</t>
  </si>
  <si>
    <t>Brann og ulykkesvern</t>
  </si>
  <si>
    <t>Interkommunale samarbeid</t>
  </si>
  <si>
    <t>Tjenester utenfor ordinært kommunalt ansvar</t>
  </si>
  <si>
    <t xml:space="preserve"> Landet uten Oslo</t>
  </si>
  <si>
    <t>SUM</t>
  </si>
  <si>
    <t>Gjennomsnittlige grunnskolepoeng</t>
  </si>
  <si>
    <t>Pleie og omsorg - institusjon</t>
  </si>
  <si>
    <t>Tjeneste</t>
  </si>
  <si>
    <t>(H)</t>
  </si>
  <si>
    <t>(Sp)</t>
  </si>
  <si>
    <t>(Berg fellesliste)</t>
  </si>
  <si>
    <t>(Felleslista for Ringvassøy, Reinøy og Rebbenesøy)</t>
  </si>
  <si>
    <t>(Kystp.)</t>
  </si>
  <si>
    <t>(V)</t>
  </si>
  <si>
    <t>(Frp)</t>
  </si>
  <si>
    <t>(Berg samlingsliste)</t>
  </si>
  <si>
    <t>(Sv)</t>
  </si>
  <si>
    <t>Ap</t>
  </si>
  <si>
    <t>KrF</t>
  </si>
  <si>
    <r>
      <t>Befolkningstetthet (innbyggere pr km</t>
    </r>
    <r>
      <rPr>
        <vertAlign val="superscript"/>
        <sz val="11"/>
        <color theme="1"/>
        <rFont val="Calibri"/>
        <family val="2"/>
        <scheme val="minor"/>
      </rPr>
      <t>2</t>
    </r>
    <r>
      <rPr>
        <sz val="11"/>
        <color theme="1"/>
        <rFont val="Calibri"/>
        <family val="2"/>
        <scheme val="minor"/>
      </rPr>
      <t>)</t>
    </r>
  </si>
  <si>
    <r>
      <t>Areal (km</t>
    </r>
    <r>
      <rPr>
        <vertAlign val="superscript"/>
        <sz val="11"/>
        <color theme="1"/>
        <rFont val="Calibri"/>
        <family val="2"/>
        <scheme val="minor"/>
      </rPr>
      <t>2</t>
    </r>
    <r>
      <rPr>
        <sz val="11"/>
        <color theme="1"/>
        <rFont val="Calibri"/>
        <family val="2"/>
        <scheme val="minor"/>
      </rPr>
      <t>)</t>
    </r>
  </si>
  <si>
    <t>Pleie og omsorg - hjemmetj.</t>
  </si>
  <si>
    <t>Erling Hanssen</t>
  </si>
  <si>
    <t>(Ap)</t>
  </si>
  <si>
    <t xml:space="preserve"> </t>
  </si>
  <si>
    <t>Beregnet verdi. Sjekk</t>
  </si>
  <si>
    <t>Harstad (inkl Bjarkøy fom 2013)</t>
  </si>
  <si>
    <t>Folketall pr. 1.7.2013</t>
  </si>
  <si>
    <t>Folketall pr. 31.12.2012</t>
  </si>
  <si>
    <t>Harstad tom 2012</t>
  </si>
  <si>
    <t>Alle 1. jan</t>
  </si>
  <si>
    <t>Bjørn Fredriksen</t>
  </si>
  <si>
    <t>Cissel Samuelsen</t>
  </si>
  <si>
    <t>Anne-Marie Gaino</t>
  </si>
  <si>
    <t>Frank Pedersen</t>
  </si>
  <si>
    <t>Andre (bygdelister/felleslister)</t>
  </si>
  <si>
    <t xml:space="preserve">Faktiske tall </t>
  </si>
  <si>
    <t>..</t>
  </si>
  <si>
    <t>Beregnet</t>
  </si>
  <si>
    <t>Helse og omsorg</t>
  </si>
  <si>
    <t>Andre tjenester samlet</t>
  </si>
  <si>
    <t>Korrigerte frie inntekter, eksl. eiendomsskatt og konsesjonskraft-inntekter (prosent av landsgjennomsnitt)</t>
  </si>
  <si>
    <t>Korrigerte frie inntekter, inkl. eiendomsskatt og konsesjonskraftinntekter. Prosent av landsgjennomsnitt.</t>
  </si>
  <si>
    <t>Telefon ordfører</t>
  </si>
  <si>
    <t xml:space="preserve">Telefon varaordfører </t>
  </si>
  <si>
    <t>Telefon rådmann</t>
  </si>
  <si>
    <t>77026015/97789673</t>
  </si>
  <si>
    <t>77023000/95837181</t>
  </si>
  <si>
    <t>77089515/94812250</t>
  </si>
  <si>
    <t>Torbjørn Simonsen</t>
  </si>
  <si>
    <t>77021806/91733288</t>
  </si>
  <si>
    <t>77176510/48180918</t>
  </si>
  <si>
    <t>77185309/95122422</t>
  </si>
  <si>
    <t>Frode Skuggedal</t>
  </si>
  <si>
    <t>77874011/95458124</t>
  </si>
  <si>
    <t>77873002/95949719</t>
  </si>
  <si>
    <t>77859011/90028129</t>
  </si>
  <si>
    <t>77871013/97764462</t>
  </si>
  <si>
    <t>77746014/91300046</t>
  </si>
  <si>
    <t>40028500/48121867</t>
  </si>
  <si>
    <t>7719225/91703255</t>
  </si>
  <si>
    <t>77775510/91718487</t>
  </si>
  <si>
    <t>77778801/40405601</t>
  </si>
  <si>
    <t>77026010/97185848</t>
  </si>
  <si>
    <t>77790087/97512123</t>
  </si>
  <si>
    <t>77023004/99497689</t>
  </si>
  <si>
    <t>77089519/90231747</t>
  </si>
  <si>
    <t>77099110/97144079</t>
  </si>
  <si>
    <t>77021802/91886442</t>
  </si>
  <si>
    <t>77176510/91866465</t>
  </si>
  <si>
    <t>77185313/90791769</t>
  </si>
  <si>
    <t>Sigrun Wiggen Prestbakmo</t>
  </si>
  <si>
    <t>77172001/48180945</t>
  </si>
  <si>
    <t>45261510/90150848</t>
  </si>
  <si>
    <t>77875001/97718700</t>
  </si>
  <si>
    <t>77189202/99506196</t>
  </si>
  <si>
    <t>77874010/41640502</t>
  </si>
  <si>
    <t>77873001/90131930</t>
  </si>
  <si>
    <t>77859010/99388188</t>
  </si>
  <si>
    <t>77871012/95148700</t>
  </si>
  <si>
    <t>77722010/91352007</t>
  </si>
  <si>
    <t>77746039/97749510</t>
  </si>
  <si>
    <t>40028501/91820811</t>
  </si>
  <si>
    <t>77212808/99230283</t>
  </si>
  <si>
    <t>77719231/97762641</t>
  </si>
  <si>
    <t>77775511/99587555</t>
  </si>
  <si>
    <t>77770720/48178253</t>
  </si>
  <si>
    <t>77778802/93085263</t>
  </si>
  <si>
    <t>77066362/91515673</t>
  </si>
  <si>
    <t>77790081/97717175</t>
  </si>
  <si>
    <t>Rita Roaldsen</t>
  </si>
  <si>
    <t>77714879/97021955</t>
  </si>
  <si>
    <t>98663137/77717527</t>
  </si>
  <si>
    <t>Tor Einar Fagereng</t>
  </si>
  <si>
    <t>Oddvar K. Skogli</t>
  </si>
  <si>
    <t>77724487/90717881</t>
  </si>
  <si>
    <t>Ann Kristin Trondsen</t>
  </si>
  <si>
    <t>Eiendomsskatt, verker og bruk/næring</t>
  </si>
  <si>
    <t>Eiendomsskatt, boliger</t>
  </si>
  <si>
    <t>Sum</t>
  </si>
  <si>
    <t>Andel barn 1-5 år med barnehageplass (prosent)</t>
  </si>
  <si>
    <t>Brutto driftsutgifter per barn i kommunal barnehage (kroner)</t>
  </si>
  <si>
    <t>Andel ansatte med barnehagelærerutdanning (prosent)</t>
  </si>
  <si>
    <t>Andel styrere og ped. ledere med godkjent barnehagelærerutdanning (prosent)</t>
  </si>
  <si>
    <t>Andel timer spes.und. av antall lærertimer totalt (prosent)</t>
  </si>
  <si>
    <t>Brutto driftsutgifter  til grunnskolesektor, pr elev (kroner)</t>
  </si>
  <si>
    <t>Andel lærere over 50 år (prosent)</t>
  </si>
  <si>
    <t>Gj.snittlig gruppestørrelse, 1.-10. årstrinn (antall elever)</t>
  </si>
  <si>
    <t>Andel elever i grunnskolen med spesialundervisning (prosent)</t>
  </si>
  <si>
    <t>Brutto driftsutg pr. mottaker av hjemmetjenester (kroner)</t>
  </si>
  <si>
    <t>Andel hjemmeboere med høy timeinnsats (prosent)</t>
  </si>
  <si>
    <t>Andel beboere i bolig m/ heldøgns bemanning ift. beboere i bolig til PLO-formål (prosent)</t>
  </si>
  <si>
    <t>Plasser i institusjon i prosent av innbyggere 80 år over (prosent)</t>
  </si>
  <si>
    <t>Andel beboere 80 år og over i institusjoner (prosent)</t>
  </si>
  <si>
    <t>Andel plasser i skjermet enhet for personer med demens (prosent)</t>
  </si>
  <si>
    <t>Korrigerte brutto driftsutgifter, institusjon, pr. kommunal plass (kroner)</t>
  </si>
  <si>
    <r>
      <t xml:space="preserve">Andel barn med </t>
    </r>
    <r>
      <rPr>
        <b/>
        <i/>
        <sz val="11"/>
        <color theme="1"/>
        <rFont val="Calibri"/>
        <family val="2"/>
        <scheme val="minor"/>
      </rPr>
      <t>undersøkelse</t>
    </r>
    <r>
      <rPr>
        <b/>
        <sz val="11"/>
        <color theme="1"/>
        <rFont val="Calibri"/>
        <family val="2"/>
        <scheme val="minor"/>
      </rPr>
      <t xml:space="preserve"> ift. antall innbyggere 0-17 år (prosent)</t>
    </r>
  </si>
  <si>
    <r>
      <t xml:space="preserve">Andel barn med </t>
    </r>
    <r>
      <rPr>
        <b/>
        <i/>
        <sz val="11"/>
        <color theme="1"/>
        <rFont val="Calibri"/>
        <family val="2"/>
        <scheme val="minor"/>
      </rPr>
      <t>barnevernstiltak</t>
    </r>
    <r>
      <rPr>
        <b/>
        <sz val="11"/>
        <color theme="1"/>
        <rFont val="Calibri"/>
        <family val="2"/>
        <scheme val="minor"/>
      </rPr>
      <t xml:space="preserve"> ift. innbyggere 0-17 år (prosent)</t>
    </r>
  </si>
  <si>
    <t>Andel undersøkelser med beh.tid over 3 mnd.(prosent)</t>
  </si>
  <si>
    <t>Andel sosialhjelpsmottakere ift. innbyggere 20-66 år (prosent)</t>
  </si>
  <si>
    <t>Andel sosialhjelpsmottakere med stønad i 6 mnd. eller mer (prosent)</t>
  </si>
  <si>
    <t>Andel mottakere med sosialhjelp som hovedinntektskilde (prosent)</t>
  </si>
  <si>
    <t>Folketall pr 1.7.2014</t>
  </si>
  <si>
    <t>Frie inntekter (skatt og rammetilskudd)(1 000 kr)</t>
  </si>
  <si>
    <t>Korrigerte frie inntekter, inkl. eiendomsskatt og konsesjonskraftinntekter, i prosent av landsgjennomsnittet (100%)</t>
  </si>
  <si>
    <t xml:space="preserve">Verker og bruk/næring (promille) </t>
  </si>
  <si>
    <t>Bolig og fritidseiendommer (promille)</t>
  </si>
  <si>
    <t>Registrert helt arbeidsledig 15-29 år</t>
  </si>
  <si>
    <t>Registrert helt arbeidsledig 30-74 år</t>
  </si>
  <si>
    <t>Registrerte helt arbeidsledige 15-29 år</t>
  </si>
  <si>
    <t>Registrerte helt arbeidsledige 30-74 år</t>
  </si>
  <si>
    <t>77770722/40034740</t>
  </si>
  <si>
    <t>77172002/48044904</t>
  </si>
  <si>
    <t>77858389/90028129</t>
  </si>
  <si>
    <t>77838341/97520820</t>
  </si>
  <si>
    <t>Eiendomsskatt,  verker og bruk/næring (promille)</t>
  </si>
  <si>
    <t>Eiendomsskatt,  bolig (promille)</t>
  </si>
  <si>
    <t>Kostragruppe 04</t>
  </si>
  <si>
    <t>Kostragruppe 16</t>
  </si>
  <si>
    <t>Samlete brutto driftsinntekter 2014</t>
  </si>
  <si>
    <t>Frie inntekter 2014</t>
  </si>
  <si>
    <t>Inntekter 2014</t>
  </si>
  <si>
    <t>Eiendomsskatt, satser for 2015</t>
  </si>
  <si>
    <t>ok, oppdatert 16.07</t>
  </si>
  <si>
    <t>Dekningsgrader, produktivitet og andre tjenesteindikatorer pr tjeneste (2014)</t>
  </si>
  <si>
    <t xml:space="preserve">Mottakere av hjemmetjenester, pr. 1000 innb. 0-66 år (antall) </t>
  </si>
  <si>
    <t>Mottakere av hjemmetjenester, pr. 1000 innb. 67 år og over (antall)</t>
  </si>
  <si>
    <t>Stillinger med fagutdanning per 1 000 barn 0-17 år</t>
  </si>
  <si>
    <t>Stillinger med fagutdanning per 1000 barn 0-17 år</t>
  </si>
  <si>
    <t>Beregnede størrelser</t>
  </si>
  <si>
    <t>Befolkningsdata (pr. 31.12.2014). Prosent.</t>
  </si>
  <si>
    <t>*Gratangen, Salangen, Dyrøy, Torsken, Berg, Lyngen og Kåfjord har endret KOSTRA-gruppe fra 2014.</t>
  </si>
  <si>
    <t>I figurene vises kun ny KOSTRA-gruppe.</t>
  </si>
  <si>
    <t>Andel ansatte med annen pedagogisk utdanning (prosent)</t>
  </si>
  <si>
    <t>Inntekter</t>
  </si>
  <si>
    <t>Brukerbetalinger</t>
  </si>
  <si>
    <t>Andre salgs- og leieinntekter</t>
  </si>
  <si>
    <t>Overføringer med krav til motytelse</t>
  </si>
  <si>
    <t>Rammetilskudd</t>
  </si>
  <si>
    <t>Andre statlige overføringer</t>
  </si>
  <si>
    <t>Andre overføringer</t>
  </si>
  <si>
    <t>Skatt på inntekt og formue</t>
  </si>
  <si>
    <t>Eiendomsskatt</t>
  </si>
  <si>
    <t>Andre direkte og indirekte skatter</t>
  </si>
  <si>
    <t>Prosentvis fordeling av brutto driftsinntekter, 2014</t>
  </si>
  <si>
    <t>Prosentvis fordeling av netto driftsutgifter pr tjeneste, 2014</t>
  </si>
  <si>
    <t>Økonomisk oversikt, driftsregnskap, konsern - komm (K) etter region, tid og statistikkvariabel</t>
  </si>
  <si>
    <t>Hentet fra økonomisk oversikt drift, tabell 04949</t>
  </si>
  <si>
    <t>Hentet fra tabell 04938- Finansielle nøkkeltall</t>
  </si>
  <si>
    <t>SUM DRIFTSINNTEKTER (A)</t>
  </si>
  <si>
    <t>Brutto driftsinntekter, i alt konsern</t>
  </si>
  <si>
    <t>DIFFERANSE?</t>
  </si>
  <si>
    <t>EAKUO Landet uten Oslo</t>
  </si>
  <si>
    <t>1902 Tromsø</t>
  </si>
  <si>
    <t>1903 Harstad</t>
  </si>
  <si>
    <t>1911 Kvæfjord</t>
  </si>
  <si>
    <t>1913 Skånland</t>
  </si>
  <si>
    <t>1917 Ibestad</t>
  </si>
  <si>
    <t>1919 Gratangen</t>
  </si>
  <si>
    <t>1920 Lavangen</t>
  </si>
  <si>
    <t>1922 Bardu</t>
  </si>
  <si>
    <t>1923 Salangen</t>
  </si>
  <si>
    <t>1924 Målselv</t>
  </si>
  <si>
    <t>1925 Sørreisa</t>
  </si>
  <si>
    <t>1926 Dyrøy</t>
  </si>
  <si>
    <t>1927 Tranøy</t>
  </si>
  <si>
    <t>1928 Torsken</t>
  </si>
  <si>
    <t>1929 Berg</t>
  </si>
  <si>
    <t>1931 Lenvik</t>
  </si>
  <si>
    <t>1933 Balsfjord</t>
  </si>
  <si>
    <t>1936 Karlsøy</t>
  </si>
  <si>
    <t>1938 Lyngen</t>
  </si>
  <si>
    <t>1939 Omasvuotna Storfjord Omasvuonon</t>
  </si>
  <si>
    <t>1940 Gáivuotna Kåfjord</t>
  </si>
  <si>
    <t>1941 Skjervøy</t>
  </si>
  <si>
    <t>1942 Nordreisa</t>
  </si>
  <si>
    <t>1943 Kvænangen</t>
  </si>
  <si>
    <t>EKA19 Troms</t>
  </si>
  <si>
    <t>EKG02 Kostragruppe 02</t>
  </si>
  <si>
    <t>EKG03 Kostragruppe 03</t>
  </si>
  <si>
    <t>EKG04 Kostragruppe 04</t>
  </si>
  <si>
    <t>EKG05 Kostragruppe 05</t>
  </si>
  <si>
    <t>EKG06 Kostragruppe 06</t>
  </si>
  <si>
    <t>EKG11 Kostragruppe 11</t>
  </si>
  <si>
    <t>EKG12 Kostragruppe 12</t>
  </si>
  <si>
    <t>EKG13 Kostragruppe 13</t>
  </si>
  <si>
    <t>EKG16 Kostragruppe 16</t>
  </si>
  <si>
    <t>Fordeling av netto driftsutgifter pr. tjeneste i 2014</t>
  </si>
  <si>
    <t>2015 (2 kv.)</t>
  </si>
  <si>
    <t>Folketall pr 2. kvartal 2015</t>
  </si>
  <si>
    <t>Skatt på inntekt og formue (inkludert naturressursskatt) i prosent av brutto dri</t>
  </si>
  <si>
    <t>Statlig rammeoverføring i prosent av brutto driftsinntekter, konsern</t>
  </si>
  <si>
    <t>Andre statlige tilskudd til driftsformål i prosent av brutto driftsinntekter, ko</t>
  </si>
  <si>
    <t>Eiendomsskatt i prosent av brutto driftsinntekter, konsern</t>
  </si>
  <si>
    <t>Salgs- og leieinntekter i prosent av brutto driftsinntekter, konsern</t>
  </si>
  <si>
    <t>Andre driftsinntekter i prosent av brutto driftsinntekter, konsern</t>
  </si>
  <si>
    <t>Inntekter fra konsesjonskraft, kraftrettigheter og annen kraft for videresalg,</t>
  </si>
  <si>
    <t>sum</t>
  </si>
  <si>
    <t>Skatt på inntekt og formue (inkludert naturressursskatt)</t>
  </si>
  <si>
    <t>Statlig rammeoverføring</t>
  </si>
  <si>
    <t>Andre statlige tilskudd til driftsformål</t>
  </si>
  <si>
    <t>Salgs- og leieinntekter</t>
  </si>
  <si>
    <t>Andre driftsinntekter</t>
  </si>
  <si>
    <t>Inntekt fra konsesjonskraft, kraftrettigheter og annen kraft for videresalg</t>
  </si>
  <si>
    <t>Netto renteeksponering i prosent av brutto driftsinntekter, konsernkommune</t>
  </si>
  <si>
    <t>Netto renteeksponert gjeld i prosent av BDI</t>
  </si>
  <si>
    <t>Brutto driftsutgifter per barn med undersøkelse/ tiltak (kroner)</t>
  </si>
  <si>
    <t>Netto renteeksponert gjeld i % av brutto driftsinntekter (rød søyle i fig.)</t>
  </si>
  <si>
    <t>Netto lånegjeld i % av brutto driftsinntekter (rød+lysblå+blå søyle i fig.)</t>
  </si>
  <si>
    <t>Brutto driftsutgifter til sosialtjenesten pr. mottaker (kroner)</t>
  </si>
  <si>
    <t>Hogne Eidissen fra 1. okt 15</t>
  </si>
  <si>
    <t>90782522</t>
  </si>
  <si>
    <t>Erla Sverdrup</t>
  </si>
  <si>
    <t>90695106</t>
  </si>
  <si>
    <t>Trond-Roger Larsen (konst.)</t>
  </si>
  <si>
    <t>77212811/98289062</t>
  </si>
  <si>
    <t>Roe Jenset</t>
  </si>
  <si>
    <t>90041470</t>
  </si>
  <si>
    <t>Rådmann/adm.sjef</t>
  </si>
  <si>
    <t>Øyvind Hilmarsen (H)(byrådsleder)</t>
  </si>
  <si>
    <t>Brutto driftsinntekter ( 1 000 kr)</t>
  </si>
  <si>
    <t>Kostragruppe fom. 2008</t>
  </si>
  <si>
    <t>Gr. 5</t>
  </si>
  <si>
    <t>Små kommuner med høye bundne kostnader per innbygger, middels frie disponible inntekter</t>
  </si>
  <si>
    <t>Gr. 6</t>
  </si>
  <si>
    <t>Små kommuner med høye bundne kostnader per innbygger, høye frie disponible inntekter</t>
  </si>
  <si>
    <t>Gr. 7</t>
  </si>
  <si>
    <t>Mellomstore kommuner med lave bundne kostnader per innbygger, lave frie disponible inntekter</t>
  </si>
  <si>
    <t>Gr.8</t>
  </si>
  <si>
    <t>Mellomstore kommuner med lave bundne kostnader per innbygger, middels frie disponible inntekter</t>
  </si>
  <si>
    <t>Gr.9</t>
  </si>
  <si>
    <t>Mellomstore kommuner med lave bundne kostnader per innbygger, høye frie disponible inntekter</t>
  </si>
  <si>
    <t>Gr.10</t>
  </si>
  <si>
    <t>Mellomstore kommuner med middels bundne kostnader per innbygger, lave frie disponible inntekter</t>
  </si>
  <si>
    <t>Gr.11</t>
  </si>
  <si>
    <t>Mellomstore kommuner med middels bundne kostnader per innbygger, middels frie disponible inntekter</t>
  </si>
  <si>
    <t>Gr.12</t>
  </si>
  <si>
    <t>Mellomstore kommuner med middels bundne kostnader per innbygger, høye frie disponible inntekter</t>
  </si>
  <si>
    <t>Gr.13</t>
  </si>
  <si>
    <t>Store kommuner utenom de fire største byene</t>
  </si>
  <si>
    <t>Gr.14</t>
  </si>
  <si>
    <t>Bergen, Trondheim og Stavanger</t>
  </si>
  <si>
    <t>Gr.15</t>
  </si>
  <si>
    <t>Oslo kommune</t>
  </si>
  <si>
    <t>Gr.16</t>
  </si>
  <si>
    <t>Gr. 1</t>
  </si>
  <si>
    <t>Små kommuner med middels bundne kostnader per innbygger, lave frie disponible inntekter</t>
  </si>
  <si>
    <t>Gr. 2</t>
  </si>
  <si>
    <t>Små kommuner med middels bundne kostnader per innbygger, middels frie disponible inntekter</t>
  </si>
  <si>
    <t>Gr. 3</t>
  </si>
  <si>
    <t>Små kommuner med middels bundne kostnader per innbygger, høye frie disponible inntekter</t>
  </si>
  <si>
    <t>Gr. 4</t>
  </si>
  <si>
    <t>Små kommuner med høye bundne kostnader per innbygger, lave frie disponible inntekter</t>
  </si>
  <si>
    <t>*Økonomitall  tom. 2012 er for gamle 1901 Harstad kommune, demografitall for årene tom. 2012 er sammenslått for 1901 Harstad og 1915 Bjarkøy</t>
  </si>
  <si>
    <t>Harstad*</t>
  </si>
  <si>
    <t>De ti kommunene med høyest frie disponible inntekter pr. innbygger</t>
  </si>
  <si>
    <t>Endret fom. 2014</t>
  </si>
  <si>
    <t>Kostragr.</t>
  </si>
  <si>
    <t>Antall</t>
  </si>
  <si>
    <t>SSB's kriterier for hver gruppe</t>
  </si>
  <si>
    <t>SSB's definisjon av begreper:</t>
  </si>
  <si>
    <r>
      <rPr>
        <b/>
        <sz val="10"/>
        <color theme="1"/>
        <rFont val="Times New Roman"/>
        <family val="1"/>
      </rPr>
      <t xml:space="preserve"> Folkemengde,</t>
    </r>
    <r>
      <rPr>
        <sz val="10"/>
        <color theme="1"/>
        <rFont val="Times New Roman"/>
        <family val="1"/>
      </rPr>
      <t xml:space="preserve"> det skilles mellom små, mellomstore og store kommuner. Små kommuner har færre enn 5000 innbyggere, mellomstore har fra 5000 til 19999 innbyggere, mens store kommuner har 20000 eller flere innbyggere</t>
    </r>
  </si>
  <si>
    <r>
      <rPr>
        <b/>
        <sz val="10"/>
        <color theme="1"/>
        <rFont val="Times New Roman"/>
        <family val="1"/>
      </rPr>
      <t xml:space="preserve">Bundne kostnader per innbygger, </t>
    </r>
    <r>
      <rPr>
        <sz val="10"/>
        <color theme="1"/>
        <rFont val="Times New Roman"/>
        <family val="1"/>
      </rPr>
      <t>som er et mål på kommunenes kostnader for å innfri minstestandarder og lovpålagte oppgaver, og disse kostnadene varierer med demografiske, sosiale og geografiske forhold. For bundne kostnader per innbygger har SSB valgt å bruke kvartilgrenser for å foreta en gruppering av kommunene. Kommuner med lave bundne kostnader omfatter de 25% laveste kommunene rangert etter bundne kostnader per innbygger. Kommuner med høye bundne kostnader omfatter de 25% høyeste kommunene rangert etter bundne kostnader per innbygger. De øvrige 50% av kommunene har middels bundne kostnader</t>
    </r>
  </si>
  <si>
    <r>
      <rPr>
        <b/>
        <sz val="10"/>
        <color theme="1"/>
        <rFont val="Times New Roman"/>
        <family val="1"/>
      </rPr>
      <t>Frie disponible inntekter per innbygger</t>
    </r>
    <r>
      <rPr>
        <sz val="10"/>
        <color theme="1"/>
        <rFont val="Times New Roman"/>
        <family val="1"/>
      </rPr>
      <t>, som er et mål på hvor mye inntekter kommunene har til disposisjon etter at de bundne kostnadene er dekket, og gir en antydning av kommunenes økonomiske handlefrihet. For frie disponible inntekter per innbygger har SSB valgt å bruke kvartilgrenser for å foreta en gruppering av kommunene. Kommuner med lave frie disponible inntekter omfatter de 25% laveste kommunene rangert etter frie disponible inntekter per innbygger. Kommuner med høye frie disponible inntekter omfatter de 25% høyeste kommunene rangert etter frie disponible inntekter per innbygger. De øvrige 50% av kommunene har middels frie disponible inntekter</t>
    </r>
  </si>
  <si>
    <t>Kostragruppe fom. 2014**</t>
  </si>
  <si>
    <t>**SSB's klassifisering av kommuner er gjort på grunnlag av kommuneregnskaper i 2013 og innbyggertall i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</si>
</sst>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 #,##0.00_ ;_ * \-#,##0.00_ ;_ * &quot;-&quot;??_ ;_ @_ "/>
    <numFmt numFmtId="164" formatCode="_ * #,##0_ ;_ * \-#,##0_ ;_ * &quot;-&quot;??_ ;_ @_ "/>
    <numFmt numFmtId="165" formatCode="0.0"/>
    <numFmt numFmtId="166" formatCode="_ * #,##0.0_ ;_ * \-#,##0.0_ ;_ * &quot;-&quot;??_ ;_ @_ "/>
    <numFmt numFmtId="167" formatCode="00"/>
  </numFmts>
  <fonts count="39" x14ac:knownFonts="1">
    <font>
      <sz val="11"/>
      <color theme="1"/>
      <name val="Calibri"/>
      <family val="2"/>
      <scheme val="minor"/>
    </font>
    <font>
      <b/>
      <sz val="11"/>
      <color theme="1"/>
      <name val="Calibri"/>
      <family val="2"/>
      <scheme val="minor"/>
    </font>
    <font>
      <b/>
      <sz val="10"/>
      <name val="Times New Roman"/>
      <family val="1"/>
    </font>
    <font>
      <sz val="10"/>
      <name val="Times New Roman"/>
      <family val="1"/>
    </font>
    <font>
      <sz val="8"/>
      <name val="Arial"/>
      <family val="2"/>
    </font>
    <font>
      <sz val="11"/>
      <color theme="1"/>
      <name val="Calibri"/>
      <family val="2"/>
      <scheme val="minor"/>
    </font>
    <font>
      <sz val="11"/>
      <color rgb="FF3F3F76"/>
      <name val="Calibri"/>
      <family val="2"/>
      <scheme val="minor"/>
    </font>
    <font>
      <b/>
      <sz val="18"/>
      <color theme="1"/>
      <name val="Calibri"/>
      <family val="2"/>
      <scheme val="minor"/>
    </font>
    <font>
      <sz val="20"/>
      <color rgb="FF3F3F76"/>
      <name val="Calibri"/>
      <family val="2"/>
      <scheme val="minor"/>
    </font>
    <font>
      <sz val="11"/>
      <color rgb="FF006100"/>
      <name val="Calibri"/>
      <family val="2"/>
      <scheme val="minor"/>
    </font>
    <font>
      <sz val="20"/>
      <color rgb="FF006100"/>
      <name val="Calibri"/>
      <family val="2"/>
      <scheme val="minor"/>
    </font>
    <font>
      <b/>
      <vertAlign val="superscript"/>
      <sz val="11"/>
      <color theme="1"/>
      <name val="Calibri"/>
      <family val="2"/>
      <scheme val="minor"/>
    </font>
    <font>
      <vertAlign val="superscript"/>
      <sz val="11"/>
      <color theme="1"/>
      <name val="Calibri"/>
      <family val="2"/>
      <scheme val="minor"/>
    </font>
    <font>
      <b/>
      <sz val="22"/>
      <name val="Arial Black"/>
      <family val="2"/>
    </font>
    <font>
      <sz val="22"/>
      <color theme="1"/>
      <name val="Arial Black"/>
      <family val="2"/>
    </font>
    <font>
      <sz val="26"/>
      <color theme="1"/>
      <name val="Cambria"/>
      <family val="1"/>
      <scheme val="major"/>
    </font>
    <font>
      <b/>
      <sz val="13"/>
      <color theme="1"/>
      <name val="Calibri"/>
      <family val="2"/>
      <scheme val="minor"/>
    </font>
    <font>
      <b/>
      <sz val="16"/>
      <color theme="1"/>
      <name val="Arial Black"/>
      <family val="2"/>
    </font>
    <font>
      <b/>
      <sz val="14"/>
      <color rgb="FF0070C0"/>
      <name val="Calibri"/>
      <family val="2"/>
      <scheme val="minor"/>
    </font>
    <font>
      <sz val="9"/>
      <color indexed="81"/>
      <name val="Tahoma"/>
      <family val="2"/>
    </font>
    <font>
      <sz val="11"/>
      <color rgb="FFFF0000"/>
      <name val="Calibri"/>
      <family val="2"/>
      <scheme val="minor"/>
    </font>
    <font>
      <b/>
      <sz val="11"/>
      <color rgb="FFFF0000"/>
      <name val="Calibri"/>
      <family val="2"/>
      <scheme val="minor"/>
    </font>
    <font>
      <sz val="11"/>
      <color rgb="FF000000"/>
      <name val="Calibri"/>
      <family val="2"/>
    </font>
    <font>
      <b/>
      <sz val="11"/>
      <color rgb="FF000000"/>
      <name val="Calibri"/>
      <family val="2"/>
    </font>
    <font>
      <sz val="8"/>
      <color rgb="FF000000"/>
      <name val="Tahoma"/>
      <family val="2"/>
    </font>
    <font>
      <b/>
      <sz val="10"/>
      <color theme="1"/>
      <name val="Times New Roman"/>
      <family val="1"/>
    </font>
    <font>
      <b/>
      <sz val="14"/>
      <color theme="1"/>
      <name val="Calibri"/>
      <family val="2"/>
      <scheme val="minor"/>
    </font>
    <font>
      <b/>
      <i/>
      <sz val="11"/>
      <color theme="1"/>
      <name val="Calibri"/>
      <family val="2"/>
      <scheme val="minor"/>
    </font>
    <font>
      <b/>
      <sz val="9"/>
      <color indexed="81"/>
      <name val="Tahoma"/>
      <family val="2"/>
    </font>
    <font>
      <sz val="11"/>
      <name val="Calibri"/>
      <family val="2"/>
      <scheme val="minor"/>
    </font>
    <font>
      <b/>
      <sz val="16"/>
      <name val="Calibri"/>
      <family val="2"/>
      <scheme val="minor"/>
    </font>
    <font>
      <b/>
      <sz val="11"/>
      <name val="Calibri"/>
      <family val="2"/>
      <scheme val="minor"/>
    </font>
    <font>
      <b/>
      <sz val="11"/>
      <color rgb="FF000000"/>
      <name val="Calibri"/>
      <family val="2"/>
      <scheme val="minor"/>
    </font>
    <font>
      <b/>
      <sz val="14"/>
      <color rgb="FF000000"/>
      <name val="Calibri"/>
      <family val="2"/>
    </font>
    <font>
      <b/>
      <sz val="11"/>
      <color rgb="FFFF0000"/>
      <name val="Calibri"/>
      <family val="2"/>
    </font>
    <font>
      <sz val="11"/>
      <color rgb="FFFF0000"/>
      <name val="Calibri"/>
      <family val="2"/>
    </font>
    <font>
      <b/>
      <sz val="11"/>
      <color theme="3" tint="0.59999389629810485"/>
      <name val="Calibri"/>
      <family val="2"/>
    </font>
    <font>
      <sz val="9"/>
      <color theme="1"/>
      <name val="Calibri"/>
      <family val="2"/>
      <scheme val="minor"/>
    </font>
    <font>
      <sz val="10"/>
      <color theme="1"/>
      <name val="Times New Roman"/>
      <family val="1"/>
    </font>
  </fonts>
  <fills count="18">
    <fill>
      <patternFill patternType="none"/>
    </fill>
    <fill>
      <patternFill patternType="gray125"/>
    </fill>
    <fill>
      <patternFill patternType="solid">
        <fgColor indexed="43"/>
        <bgColor indexed="64"/>
      </patternFill>
    </fill>
    <fill>
      <patternFill patternType="solid">
        <fgColor rgb="FFFFC000"/>
        <bgColor indexed="64"/>
      </patternFill>
    </fill>
    <fill>
      <patternFill patternType="solid">
        <fgColor rgb="FFFFCC99"/>
      </patternFill>
    </fill>
    <fill>
      <patternFill patternType="solid">
        <fgColor rgb="FFC6EFCE"/>
      </patternFill>
    </fill>
    <fill>
      <patternFill patternType="solid">
        <fgColor theme="2"/>
        <bgColor indexed="64"/>
      </patternFill>
    </fill>
    <fill>
      <patternFill patternType="solid">
        <fgColor theme="4" tint="0.79998168889431442"/>
        <bgColor indexed="64"/>
      </patternFill>
    </fill>
    <fill>
      <patternFill patternType="solid">
        <fgColor rgb="FFFFA07A"/>
        <bgColor rgb="FFFFA07A"/>
      </patternFill>
    </fill>
    <fill>
      <patternFill patternType="solid">
        <fgColor rgb="FFFFFF00"/>
        <bgColor indexed="64"/>
      </patternFill>
    </fill>
    <fill>
      <patternFill patternType="solid">
        <fgColor rgb="FFCCFF99"/>
        <bgColor indexed="64"/>
      </patternFill>
    </fill>
    <fill>
      <patternFill patternType="solid">
        <fgColor theme="9" tint="0.59999389629810485"/>
        <bgColor indexed="64"/>
      </patternFill>
    </fill>
    <fill>
      <patternFill patternType="solid">
        <fgColor theme="0"/>
        <bgColor indexed="64"/>
      </patternFill>
    </fill>
    <fill>
      <patternFill patternType="solid">
        <fgColor rgb="FFFFFFCC"/>
      </patternFill>
    </fill>
    <fill>
      <patternFill patternType="solid">
        <fgColor rgb="FF92D05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3"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s>
  <cellStyleXfs count="6">
    <xf numFmtId="0" fontId="0" fillId="0" borderId="0"/>
    <xf numFmtId="43" fontId="5" fillId="0" borderId="0" applyFont="0" applyFill="0" applyBorder="0" applyAlignment="0" applyProtection="0"/>
    <xf numFmtId="0" fontId="6" fillId="4" borderId="2" applyNumberFormat="0" applyAlignment="0" applyProtection="0"/>
    <xf numFmtId="0" fontId="9" fillId="5" borderId="0" applyNumberFormat="0" applyBorder="0" applyAlignment="0" applyProtection="0"/>
    <xf numFmtId="0" fontId="22" fillId="0" borderId="0" applyNumberFormat="0" applyBorder="0" applyAlignment="0"/>
    <xf numFmtId="0" fontId="5" fillId="13" borderId="15" applyNumberFormat="0" applyFont="0" applyAlignment="0" applyProtection="0"/>
  </cellStyleXfs>
  <cellXfs count="264">
    <xf numFmtId="0" fontId="0" fillId="0" borderId="0" xfId="0"/>
    <xf numFmtId="0" fontId="0" fillId="3" borderId="0" xfId="0" applyFill="1"/>
    <xf numFmtId="0" fontId="1" fillId="3" borderId="0" xfId="0" applyFont="1" applyFill="1"/>
    <xf numFmtId="0" fontId="0" fillId="0" borderId="0" xfId="0" applyAlignment="1">
      <alignment horizontal="center"/>
    </xf>
    <xf numFmtId="0" fontId="2" fillId="2" borderId="1" xfId="0" applyFont="1" applyFill="1" applyBorder="1" applyAlignment="1">
      <alignment wrapText="1"/>
    </xf>
    <xf numFmtId="0" fontId="3" fillId="2" borderId="1" xfId="0" applyFont="1" applyFill="1" applyBorder="1" applyAlignment="1">
      <alignment horizontal="center"/>
    </xf>
    <xf numFmtId="0" fontId="1" fillId="0" borderId="0" xfId="0" applyFont="1"/>
    <xf numFmtId="0" fontId="5" fillId="0" borderId="0" xfId="0" applyFont="1" applyAlignment="1" applyProtection="1">
      <alignment horizontal="left"/>
      <protection locked="0"/>
    </xf>
    <xf numFmtId="0" fontId="0" fillId="0" borderId="0" xfId="0" applyFont="1" applyAlignment="1" applyProtection="1">
      <alignment horizontal="left"/>
      <protection locked="0"/>
    </xf>
    <xf numFmtId="0" fontId="7" fillId="0" borderId="0" xfId="0" applyFont="1"/>
    <xf numFmtId="0" fontId="1" fillId="0" borderId="0" xfId="0" applyFont="1" applyAlignment="1" applyProtection="1">
      <alignment horizontal="left"/>
      <protection locked="0"/>
    </xf>
    <xf numFmtId="164" fontId="0" fillId="0" borderId="0" xfId="1" applyNumberFormat="1" applyFont="1" applyAlignment="1" applyProtection="1">
      <alignment horizontal="right"/>
      <protection locked="0"/>
    </xf>
    <xf numFmtId="0" fontId="2" fillId="0" borderId="0" xfId="0" applyFont="1"/>
    <xf numFmtId="0" fontId="2" fillId="0" borderId="0" xfId="0" applyFont="1" applyAlignment="1">
      <alignment horizontal="center"/>
    </xf>
    <xf numFmtId="0" fontId="0" fillId="0" borderId="0" xfId="0" applyAlignment="1">
      <alignment wrapText="1"/>
    </xf>
    <xf numFmtId="0" fontId="0" fillId="0" borderId="0" xfId="0" applyAlignment="1" applyProtection="1">
      <alignment horizontal="right"/>
      <protection locked="0"/>
    </xf>
    <xf numFmtId="0" fontId="5" fillId="0" borderId="0" xfId="0" applyFont="1" applyAlignment="1" applyProtection="1">
      <alignment horizontal="right"/>
      <protection locked="0"/>
    </xf>
    <xf numFmtId="0" fontId="1" fillId="0" borderId="0" xfId="0" applyFont="1" applyAlignment="1" applyProtection="1">
      <alignment horizontal="left" wrapText="1"/>
      <protection locked="0"/>
    </xf>
    <xf numFmtId="164" fontId="0" fillId="0" borderId="0" xfId="1" applyNumberFormat="1" applyFont="1"/>
    <xf numFmtId="165" fontId="0" fillId="0" borderId="0" xfId="0" applyNumberFormat="1"/>
    <xf numFmtId="1" fontId="0" fillId="0" borderId="0" xfId="0" applyNumberFormat="1"/>
    <xf numFmtId="0" fontId="0" fillId="0" borderId="0" xfId="0" applyFont="1" applyAlignment="1" applyProtection="1">
      <alignment horizontal="left" wrapText="1"/>
      <protection locked="0"/>
    </xf>
    <xf numFmtId="0" fontId="0" fillId="0" borderId="0" xfId="0" applyFont="1"/>
    <xf numFmtId="0" fontId="0" fillId="6" borderId="1" xfId="0" applyFill="1" applyBorder="1"/>
    <xf numFmtId="164" fontId="0" fillId="6" borderId="1" xfId="1" applyNumberFormat="1" applyFont="1" applyFill="1" applyBorder="1" applyAlignment="1">
      <alignment horizontal="right"/>
    </xf>
    <xf numFmtId="164" fontId="0" fillId="6" borderId="1" xfId="1" applyNumberFormat="1" applyFont="1" applyFill="1" applyBorder="1" applyAlignment="1">
      <alignment horizontal="center"/>
    </xf>
    <xf numFmtId="0" fontId="0" fillId="6" borderId="0" xfId="0" applyFill="1" applyBorder="1"/>
    <xf numFmtId="0" fontId="0" fillId="6" borderId="0" xfId="0" applyFill="1" applyBorder="1" applyAlignment="1">
      <alignment horizontal="right"/>
    </xf>
    <xf numFmtId="0" fontId="3" fillId="0" borderId="0" xfId="0" applyFont="1" applyAlignment="1">
      <alignment horizontal="left"/>
    </xf>
    <xf numFmtId="0" fontId="0" fillId="0" borderId="0" xfId="0" applyAlignment="1">
      <alignment horizontal="left"/>
    </xf>
    <xf numFmtId="165" fontId="0" fillId="6" borderId="1" xfId="0" applyNumberFormat="1" applyFill="1" applyBorder="1" applyAlignment="1">
      <alignment horizontal="right"/>
    </xf>
    <xf numFmtId="165" fontId="0" fillId="6" borderId="1" xfId="0" applyNumberFormat="1" applyFill="1" applyBorder="1" applyAlignment="1">
      <alignment horizontal="center"/>
    </xf>
    <xf numFmtId="165" fontId="1" fillId="0" borderId="0" xfId="0" applyNumberFormat="1" applyFont="1"/>
    <xf numFmtId="0" fontId="14" fillId="6" borderId="0" xfId="0" applyFont="1" applyFill="1" applyBorder="1"/>
    <xf numFmtId="0" fontId="0" fillId="6" borderId="1" xfId="0" applyFont="1" applyFill="1" applyBorder="1" applyAlignment="1">
      <alignment horizontal="center"/>
    </xf>
    <xf numFmtId="0" fontId="0" fillId="6" borderId="7" xfId="0" applyFill="1" applyBorder="1"/>
    <xf numFmtId="0" fontId="0" fillId="6" borderId="8" xfId="0" applyFill="1" applyBorder="1"/>
    <xf numFmtId="0" fontId="13" fillId="6" borderId="7" xfId="0" applyFont="1" applyFill="1" applyBorder="1" applyAlignment="1"/>
    <xf numFmtId="0" fontId="0" fillId="6" borderId="9" xfId="0" applyFont="1" applyFill="1" applyBorder="1" applyAlignment="1" applyProtection="1">
      <alignment horizontal="left" wrapText="1"/>
      <protection locked="0"/>
    </xf>
    <xf numFmtId="0" fontId="0" fillId="6" borderId="9" xfId="0" applyFont="1" applyFill="1" applyBorder="1" applyAlignment="1">
      <alignment wrapText="1"/>
    </xf>
    <xf numFmtId="0" fontId="0" fillId="6" borderId="9" xfId="0" applyFont="1" applyFill="1" applyBorder="1" applyAlignment="1">
      <alignment shrinkToFit="1"/>
    </xf>
    <xf numFmtId="0" fontId="0" fillId="6" borderId="9" xfId="0" applyFill="1" applyBorder="1" applyAlignment="1">
      <alignment shrinkToFit="1"/>
    </xf>
    <xf numFmtId="0" fontId="0" fillId="6" borderId="9" xfId="0" applyFill="1" applyBorder="1" applyAlignment="1">
      <alignment wrapText="1"/>
    </xf>
    <xf numFmtId="0" fontId="0" fillId="6" borderId="11" xfId="0" applyFill="1" applyBorder="1"/>
    <xf numFmtId="164" fontId="0" fillId="6" borderId="0" xfId="1" applyNumberFormat="1" applyFont="1" applyFill="1" applyBorder="1" applyAlignment="1">
      <alignment horizontal="center"/>
    </xf>
    <xf numFmtId="0" fontId="1" fillId="6" borderId="7" xfId="0" applyFont="1" applyFill="1" applyBorder="1"/>
    <xf numFmtId="0" fontId="17" fillId="6" borderId="7" xfId="0" applyFont="1" applyFill="1" applyBorder="1" applyAlignment="1" applyProtection="1">
      <alignment horizontal="left" wrapText="1"/>
      <protection locked="0"/>
    </xf>
    <xf numFmtId="0" fontId="17" fillId="6" borderId="7" xfId="0" applyFont="1" applyFill="1" applyBorder="1"/>
    <xf numFmtId="0" fontId="0" fillId="6" borderId="9" xfId="0" applyFill="1" applyBorder="1"/>
    <xf numFmtId="0" fontId="0" fillId="6" borderId="8" xfId="0" applyFill="1" applyBorder="1" applyAlignment="1"/>
    <xf numFmtId="0" fontId="0" fillId="6" borderId="12" xfId="0" applyFill="1" applyBorder="1"/>
    <xf numFmtId="0" fontId="0" fillId="6" borderId="9" xfId="0" applyFont="1" applyFill="1" applyBorder="1"/>
    <xf numFmtId="0" fontId="1" fillId="7" borderId="1" xfId="0" applyFont="1" applyFill="1" applyBorder="1"/>
    <xf numFmtId="0" fontId="1" fillId="7" borderId="1" xfId="0" applyFont="1" applyFill="1" applyBorder="1" applyAlignment="1" applyProtection="1">
      <alignment horizontal="left"/>
      <protection locked="0"/>
    </xf>
    <xf numFmtId="0" fontId="5" fillId="7" borderId="1" xfId="0" applyFont="1" applyFill="1" applyBorder="1" applyAlignment="1" applyProtection="1">
      <alignment horizontal="left"/>
      <protection locked="0"/>
    </xf>
    <xf numFmtId="164" fontId="0" fillId="7" borderId="1" xfId="1" applyNumberFormat="1" applyFont="1" applyFill="1" applyBorder="1" applyAlignment="1" applyProtection="1">
      <alignment horizontal="right"/>
      <protection locked="0"/>
    </xf>
    <xf numFmtId="0" fontId="0" fillId="7" borderId="1" xfId="0" applyFill="1" applyBorder="1"/>
    <xf numFmtId="164" fontId="1" fillId="7" borderId="1" xfId="0" applyNumberFormat="1" applyFont="1" applyFill="1" applyBorder="1"/>
    <xf numFmtId="164" fontId="1" fillId="7" borderId="1" xfId="1" applyNumberFormat="1" applyFont="1" applyFill="1" applyBorder="1" applyAlignment="1" applyProtection="1">
      <alignment horizontal="right"/>
      <protection locked="0"/>
    </xf>
    <xf numFmtId="164" fontId="0" fillId="0" borderId="0" xfId="0" applyNumberFormat="1"/>
    <xf numFmtId="164" fontId="1" fillId="7" borderId="1" xfId="0" applyNumberFormat="1" applyFont="1" applyFill="1" applyBorder="1" applyAlignment="1"/>
    <xf numFmtId="164" fontId="1" fillId="7" borderId="1" xfId="1" applyNumberFormat="1" applyFont="1" applyFill="1" applyBorder="1" applyAlignment="1" applyProtection="1">
      <protection locked="0"/>
    </xf>
    <xf numFmtId="0" fontId="0" fillId="6" borderId="0" xfId="0" applyFill="1" applyBorder="1" applyAlignment="1">
      <alignment horizontal="left"/>
    </xf>
    <xf numFmtId="0" fontId="2" fillId="0" borderId="1" xfId="0" applyFont="1" applyBorder="1"/>
    <xf numFmtId="0" fontId="2" fillId="0" borderId="1" xfId="0" applyFont="1" applyFill="1" applyBorder="1"/>
    <xf numFmtId="0" fontId="20" fillId="0" borderId="0" xfId="0" applyFont="1"/>
    <xf numFmtId="0" fontId="5" fillId="0" borderId="0" xfId="0" applyFont="1" applyAlignment="1" applyProtection="1">
      <alignment horizontal="left" wrapText="1"/>
      <protection locked="0"/>
    </xf>
    <xf numFmtId="0" fontId="20" fillId="0" borderId="0" xfId="0" applyFont="1" applyAlignment="1" applyProtection="1">
      <alignment horizontal="left"/>
      <protection locked="0"/>
    </xf>
    <xf numFmtId="0" fontId="1" fillId="0" borderId="0" xfId="0" applyFont="1" applyAlignment="1">
      <alignment wrapText="1"/>
    </xf>
    <xf numFmtId="0" fontId="5" fillId="0" borderId="0" xfId="0" applyFont="1" applyAlignment="1" applyProtection="1">
      <alignment horizontal="right"/>
      <protection locked="0"/>
    </xf>
    <xf numFmtId="1" fontId="1" fillId="7" borderId="1" xfId="0" applyNumberFormat="1" applyFont="1" applyFill="1" applyBorder="1" applyAlignment="1" applyProtection="1">
      <alignment horizontal="left"/>
      <protection locked="0"/>
    </xf>
    <xf numFmtId="0" fontId="0" fillId="7" borderId="1" xfId="0" applyFont="1" applyFill="1" applyBorder="1" applyAlignment="1" applyProtection="1">
      <alignment horizontal="left"/>
      <protection locked="0"/>
    </xf>
    <xf numFmtId="0" fontId="0" fillId="0" borderId="0" xfId="0"/>
    <xf numFmtId="0" fontId="5" fillId="0" borderId="0" xfId="0" applyFont="1" applyAlignment="1" applyProtection="1">
      <alignment horizontal="left"/>
      <protection locked="0"/>
    </xf>
    <xf numFmtId="0" fontId="0" fillId="0" borderId="0" xfId="0" applyAlignment="1" applyProtection="1">
      <alignment horizontal="right"/>
      <protection locked="0"/>
    </xf>
    <xf numFmtId="0" fontId="20" fillId="0" borderId="0" xfId="0" applyFont="1" applyAlignment="1">
      <alignment wrapText="1"/>
    </xf>
    <xf numFmtId="0" fontId="0" fillId="0" borderId="0" xfId="0"/>
    <xf numFmtId="0" fontId="5" fillId="9" borderId="0" xfId="0" applyFont="1" applyFill="1" applyAlignment="1" applyProtection="1">
      <alignment horizontal="left"/>
      <protection locked="0"/>
    </xf>
    <xf numFmtId="0" fontId="0" fillId="0" borderId="0" xfId="0" applyFill="1" applyProtection="1"/>
    <xf numFmtId="0" fontId="0" fillId="8" borderId="0" xfId="0" applyFill="1" applyAlignment="1" applyProtection="1">
      <alignment horizontal="right"/>
    </xf>
    <xf numFmtId="165" fontId="0" fillId="0" borderId="0" xfId="0" applyNumberFormat="1" applyAlignment="1" applyProtection="1">
      <alignment horizontal="right"/>
      <protection locked="0"/>
    </xf>
    <xf numFmtId="0" fontId="23" fillId="0" borderId="0" xfId="0" applyFont="1" applyFill="1" applyAlignment="1" applyProtection="1">
      <alignment wrapText="1"/>
    </xf>
    <xf numFmtId="164" fontId="0" fillId="7" borderId="1" xfId="1" applyNumberFormat="1" applyFont="1" applyFill="1" applyBorder="1" applyProtection="1"/>
    <xf numFmtId="164" fontId="23" fillId="7" borderId="1" xfId="1" applyNumberFormat="1" applyFont="1" applyFill="1" applyBorder="1" applyProtection="1"/>
    <xf numFmtId="0" fontId="0" fillId="12" borderId="7" xfId="0" applyFont="1" applyFill="1" applyBorder="1" applyAlignment="1" applyProtection="1">
      <alignment horizontal="left" wrapText="1"/>
      <protection locked="0"/>
    </xf>
    <xf numFmtId="0" fontId="2" fillId="11" borderId="1" xfId="0" applyFont="1" applyFill="1" applyBorder="1" applyAlignment="1">
      <alignment wrapText="1"/>
    </xf>
    <xf numFmtId="0" fontId="2" fillId="11" borderId="1" xfId="0" applyFont="1" applyFill="1" applyBorder="1" applyAlignment="1">
      <alignment horizontal="center" wrapText="1"/>
    </xf>
    <xf numFmtId="0" fontId="3" fillId="11" borderId="1" xfId="0" applyFont="1" applyFill="1" applyBorder="1"/>
    <xf numFmtId="0" fontId="0" fillId="11" borderId="1" xfId="0" applyFill="1" applyBorder="1"/>
    <xf numFmtId="0" fontId="4" fillId="11" borderId="1" xfId="0" applyFont="1" applyFill="1" applyBorder="1" applyAlignment="1" applyProtection="1">
      <alignment horizontal="left"/>
      <protection locked="0"/>
    </xf>
    <xf numFmtId="0" fontId="0" fillId="11" borderId="1" xfId="0" applyFill="1" applyBorder="1" applyAlignment="1">
      <alignment horizontal="center"/>
    </xf>
    <xf numFmtId="0" fontId="1" fillId="11" borderId="0" xfId="0" applyFont="1" applyFill="1"/>
    <xf numFmtId="0" fontId="0" fillId="11" borderId="14" xfId="0" applyFill="1" applyBorder="1" applyAlignment="1">
      <alignment wrapText="1"/>
    </xf>
    <xf numFmtId="0" fontId="0" fillId="11" borderId="14" xfId="0" applyFill="1" applyBorder="1" applyAlignment="1">
      <alignment horizontal="center"/>
    </xf>
    <xf numFmtId="0" fontId="1" fillId="11" borderId="1" xfId="0" applyFont="1" applyFill="1" applyBorder="1"/>
    <xf numFmtId="0" fontId="25" fillId="11" borderId="1" xfId="0" applyFont="1" applyFill="1" applyBorder="1"/>
    <xf numFmtId="49" fontId="0" fillId="11" borderId="1" xfId="0" applyNumberFormat="1" applyFill="1" applyBorder="1"/>
    <xf numFmtId="0" fontId="1" fillId="6" borderId="0" xfId="0" applyFont="1" applyFill="1" applyBorder="1"/>
    <xf numFmtId="164" fontId="0" fillId="6" borderId="0" xfId="1" applyNumberFormat="1" applyFont="1" applyFill="1" applyBorder="1"/>
    <xf numFmtId="0" fontId="0" fillId="6" borderId="0" xfId="0" applyFont="1" applyFill="1" applyBorder="1" applyAlignment="1" applyProtection="1">
      <alignment horizontal="left" wrapText="1"/>
      <protection locked="0"/>
    </xf>
    <xf numFmtId="0" fontId="1" fillId="6" borderId="0" xfId="0" applyFont="1" applyFill="1" applyBorder="1" applyAlignment="1" applyProtection="1">
      <alignment horizontal="left" wrapText="1"/>
      <protection locked="0"/>
    </xf>
    <xf numFmtId="0" fontId="1" fillId="0" borderId="0" xfId="0" applyFont="1" applyAlignment="1">
      <alignment horizontal="left"/>
    </xf>
    <xf numFmtId="0" fontId="26" fillId="6" borderId="7" xfId="0" applyFont="1" applyFill="1" applyBorder="1"/>
    <xf numFmtId="164" fontId="0" fillId="0" borderId="0" xfId="1" applyNumberFormat="1" applyFont="1" applyAlignment="1">
      <alignment wrapText="1"/>
    </xf>
    <xf numFmtId="165" fontId="0" fillId="0" borderId="0" xfId="0" applyNumberFormat="1" applyFont="1" applyAlignment="1" applyProtection="1">
      <alignment horizontal="right"/>
      <protection locked="0"/>
    </xf>
    <xf numFmtId="3" fontId="0" fillId="14" borderId="0" xfId="0" applyNumberFormat="1" applyFont="1" applyFill="1" applyAlignment="1" applyProtection="1">
      <alignment horizontal="right"/>
      <protection locked="0"/>
    </xf>
    <xf numFmtId="0" fontId="0" fillId="7" borderId="1" xfId="0" applyFill="1" applyBorder="1" applyAlignment="1" applyProtection="1">
      <alignment horizontal="right"/>
      <protection locked="0"/>
    </xf>
    <xf numFmtId="0" fontId="16" fillId="6" borderId="8" xfId="0" applyFont="1" applyFill="1" applyBorder="1"/>
    <xf numFmtId="0" fontId="0" fillId="6" borderId="8" xfId="0" applyFill="1" applyBorder="1" applyAlignment="1">
      <alignment wrapText="1"/>
    </xf>
    <xf numFmtId="0" fontId="0" fillId="6" borderId="0" xfId="0" applyFill="1" applyBorder="1" applyAlignment="1">
      <alignment horizontal="left" wrapText="1"/>
    </xf>
    <xf numFmtId="165" fontId="5" fillId="0" borderId="0" xfId="0" applyNumberFormat="1" applyFont="1" applyAlignment="1" applyProtection="1">
      <alignment horizontal="left"/>
      <protection locked="0"/>
    </xf>
    <xf numFmtId="0" fontId="1" fillId="0" borderId="1" xfId="0" applyFont="1" applyBorder="1"/>
    <xf numFmtId="0" fontId="1" fillId="0" borderId="1" xfId="0" applyFont="1" applyBorder="1" applyAlignment="1" applyProtection="1">
      <alignment horizontal="left"/>
      <protection locked="0"/>
    </xf>
    <xf numFmtId="0" fontId="5" fillId="0" borderId="1" xfId="0" applyFont="1" applyBorder="1" applyAlignment="1" applyProtection="1">
      <alignment horizontal="left"/>
      <protection locked="0"/>
    </xf>
    <xf numFmtId="0" fontId="0" fillId="0" borderId="1" xfId="0" applyFill="1" applyBorder="1" applyProtection="1"/>
    <xf numFmtId="0" fontId="0" fillId="0" borderId="1" xfId="0" applyFont="1" applyBorder="1" applyAlignment="1" applyProtection="1">
      <alignment horizontal="left"/>
      <protection locked="0"/>
    </xf>
    <xf numFmtId="164" fontId="20" fillId="0" borderId="0" xfId="1" applyNumberFormat="1" applyFont="1"/>
    <xf numFmtId="164" fontId="0" fillId="0" borderId="0" xfId="1" applyNumberFormat="1" applyFont="1" applyFill="1" applyProtection="1"/>
    <xf numFmtId="0" fontId="18" fillId="7" borderId="9" xfId="0" applyFont="1" applyFill="1" applyBorder="1"/>
    <xf numFmtId="0" fontId="1" fillId="7" borderId="1" xfId="0" applyFont="1" applyFill="1" applyBorder="1" applyAlignment="1">
      <alignment wrapText="1"/>
    </xf>
    <xf numFmtId="0" fontId="1" fillId="7" borderId="16" xfId="0" applyFont="1" applyFill="1" applyBorder="1" applyAlignment="1">
      <alignment wrapText="1"/>
    </xf>
    <xf numFmtId="0" fontId="1" fillId="7" borderId="9" xfId="0" applyFont="1" applyFill="1" applyBorder="1" applyAlignment="1">
      <alignment shrinkToFit="1"/>
    </xf>
    <xf numFmtId="0" fontId="1" fillId="7" borderId="1" xfId="0" applyFont="1" applyFill="1" applyBorder="1" applyAlignment="1">
      <alignment horizontal="center"/>
    </xf>
    <xf numFmtId="0" fontId="1" fillId="7" borderId="1" xfId="0" applyFont="1" applyFill="1" applyBorder="1" applyAlignment="1">
      <alignment horizontal="center" wrapText="1"/>
    </xf>
    <xf numFmtId="0" fontId="1" fillId="7" borderId="9" xfId="0" applyFont="1" applyFill="1" applyBorder="1"/>
    <xf numFmtId="0" fontId="0" fillId="6" borderId="7" xfId="0" applyFont="1" applyFill="1" applyBorder="1" applyAlignment="1" applyProtection="1">
      <alignment horizontal="left" wrapText="1"/>
      <protection locked="0"/>
    </xf>
    <xf numFmtId="166" fontId="0" fillId="6" borderId="1" xfId="1" applyNumberFormat="1" applyFont="1" applyFill="1" applyBorder="1" applyAlignment="1">
      <alignment horizontal="center"/>
    </xf>
    <xf numFmtId="0" fontId="0" fillId="0" borderId="0" xfId="0" applyAlignment="1">
      <alignment horizontal="right" wrapText="1"/>
    </xf>
    <xf numFmtId="0" fontId="29" fillId="12" borderId="1" xfId="0" applyFont="1" applyFill="1" applyBorder="1" applyAlignment="1">
      <alignment horizontal="center"/>
    </xf>
    <xf numFmtId="164" fontId="0" fillId="0" borderId="1" xfId="1" applyNumberFormat="1" applyFont="1" applyFill="1" applyBorder="1" applyProtection="1"/>
    <xf numFmtId="1" fontId="22" fillId="0" borderId="1" xfId="4" applyNumberFormat="1" applyFill="1" applyBorder="1" applyProtection="1"/>
    <xf numFmtId="164" fontId="0" fillId="0" borderId="1" xfId="1" applyNumberFormat="1" applyFont="1" applyBorder="1"/>
    <xf numFmtId="165" fontId="0" fillId="0" borderId="1" xfId="0" applyNumberFormat="1" applyBorder="1"/>
    <xf numFmtId="0" fontId="0" fillId="0" borderId="1" xfId="0" applyBorder="1"/>
    <xf numFmtId="0" fontId="0" fillId="0" borderId="1" xfId="0" applyFont="1" applyBorder="1" applyAlignment="1" applyProtection="1">
      <alignment horizontal="left" wrapText="1"/>
      <protection locked="0"/>
    </xf>
    <xf numFmtId="0" fontId="1" fillId="15" borderId="1" xfId="0" applyFont="1" applyFill="1" applyBorder="1"/>
    <xf numFmtId="0" fontId="21" fillId="15" borderId="1" xfId="0" applyFont="1" applyFill="1" applyBorder="1" applyAlignment="1" applyProtection="1">
      <alignment horizontal="left" wrapText="1"/>
      <protection locked="0"/>
    </xf>
    <xf numFmtId="0" fontId="21" fillId="15" borderId="1" xfId="0" applyFont="1" applyFill="1" applyBorder="1"/>
    <xf numFmtId="0" fontId="1" fillId="15" borderId="1" xfId="0" applyFont="1" applyFill="1" applyBorder="1" applyAlignment="1" applyProtection="1">
      <alignment horizontal="left"/>
      <protection locked="0"/>
    </xf>
    <xf numFmtId="0" fontId="1" fillId="15" borderId="1" xfId="0" applyFont="1" applyFill="1" applyBorder="1" applyAlignment="1" applyProtection="1">
      <alignment horizontal="left" wrapText="1"/>
      <protection locked="0"/>
    </xf>
    <xf numFmtId="0" fontId="1" fillId="15" borderId="1" xfId="0" applyFont="1" applyFill="1" applyBorder="1" applyAlignment="1">
      <alignment wrapText="1"/>
    </xf>
    <xf numFmtId="164" fontId="1" fillId="15" borderId="1" xfId="1" applyNumberFormat="1" applyFont="1" applyFill="1" applyBorder="1" applyAlignment="1" applyProtection="1">
      <alignment horizontal="left"/>
      <protection locked="0"/>
    </xf>
    <xf numFmtId="164" fontId="0" fillId="15" borderId="1" xfId="1" applyNumberFormat="1" applyFont="1" applyFill="1" applyBorder="1" applyProtection="1"/>
    <xf numFmtId="164" fontId="23" fillId="15" borderId="1" xfId="1" applyNumberFormat="1" applyFont="1" applyFill="1" applyBorder="1" applyProtection="1"/>
    <xf numFmtId="164" fontId="23" fillId="15" borderId="1" xfId="0" applyNumberFormat="1" applyFont="1" applyFill="1" applyBorder="1" applyProtection="1"/>
    <xf numFmtId="164" fontId="1" fillId="15" borderId="1" xfId="1" applyNumberFormat="1" applyFont="1" applyFill="1" applyBorder="1"/>
    <xf numFmtId="1" fontId="1" fillId="0" borderId="0" xfId="0" applyNumberFormat="1" applyFont="1"/>
    <xf numFmtId="0" fontId="22" fillId="0" borderId="0" xfId="4" applyFill="1" applyProtection="1"/>
    <xf numFmtId="0" fontId="0" fillId="0" borderId="1" xfId="0" applyBorder="1" applyAlignment="1">
      <alignment wrapText="1"/>
    </xf>
    <xf numFmtId="0" fontId="1" fillId="0" borderId="1" xfId="0" applyFont="1" applyBorder="1" applyAlignment="1" applyProtection="1">
      <alignment horizontal="left" wrapText="1"/>
      <protection locked="0"/>
    </xf>
    <xf numFmtId="0" fontId="20" fillId="0" borderId="1" xfId="0" applyFont="1" applyBorder="1" applyAlignment="1" applyProtection="1">
      <alignment horizontal="left"/>
      <protection locked="0"/>
    </xf>
    <xf numFmtId="0" fontId="22" fillId="0" borderId="1" xfId="4" applyFill="1" applyBorder="1" applyProtection="1"/>
    <xf numFmtId="0" fontId="0" fillId="8" borderId="1" xfId="0" applyFill="1" applyBorder="1" applyAlignment="1" applyProtection="1">
      <alignment horizontal="right"/>
    </xf>
    <xf numFmtId="0" fontId="1" fillId="0" borderId="0" xfId="0" applyFont="1" applyFill="1" applyProtection="1"/>
    <xf numFmtId="0" fontId="22" fillId="0" borderId="0" xfId="4" applyFill="1" applyProtection="1"/>
    <xf numFmtId="0" fontId="22" fillId="0" borderId="0" xfId="4" applyFill="1" applyProtection="1"/>
    <xf numFmtId="165" fontId="22" fillId="0" borderId="0" xfId="0" applyNumberFormat="1" applyFont="1" applyFill="1" applyBorder="1" applyProtection="1"/>
    <xf numFmtId="0" fontId="20" fillId="16" borderId="0" xfId="0" applyFont="1" applyFill="1" applyAlignment="1" applyProtection="1">
      <alignment horizontal="left"/>
      <protection locked="0"/>
    </xf>
    <xf numFmtId="164" fontId="22" fillId="0" borderId="0" xfId="1" applyNumberFormat="1" applyFont="1" applyFill="1" applyProtection="1"/>
    <xf numFmtId="165" fontId="0" fillId="0" borderId="0" xfId="0" applyNumberFormat="1" applyFont="1" applyFill="1" applyBorder="1" applyProtection="1"/>
    <xf numFmtId="0" fontId="22" fillId="0" borderId="0" xfId="4" applyFill="1" applyProtection="1"/>
    <xf numFmtId="0" fontId="23" fillId="7" borderId="1" xfId="0" applyFont="1" applyFill="1" applyBorder="1" applyAlignment="1" applyProtection="1">
      <alignment wrapText="1"/>
    </xf>
    <xf numFmtId="0" fontId="20" fillId="0" borderId="0" xfId="0" applyFont="1" applyFill="1" applyProtection="1"/>
    <xf numFmtId="164" fontId="20" fillId="0" borderId="0" xfId="1" applyNumberFormat="1" applyFont="1" applyFill="1" applyProtection="1"/>
    <xf numFmtId="0" fontId="20" fillId="0" borderId="0" xfId="0" applyFont="1" applyAlignment="1" applyProtection="1">
      <alignment horizontal="right"/>
      <protection locked="0"/>
    </xf>
    <xf numFmtId="165" fontId="20" fillId="0" borderId="0" xfId="0" applyNumberFormat="1" applyFont="1" applyAlignment="1" applyProtection="1">
      <alignment horizontal="right"/>
      <protection locked="0"/>
    </xf>
    <xf numFmtId="166" fontId="0" fillId="6" borderId="16" xfId="1" applyNumberFormat="1" applyFont="1" applyFill="1" applyBorder="1" applyAlignment="1">
      <alignment horizontal="center"/>
    </xf>
    <xf numFmtId="0" fontId="0" fillId="6" borderId="1" xfId="0" applyFill="1" applyBorder="1" applyAlignment="1">
      <alignment horizontal="right"/>
    </xf>
    <xf numFmtId="164" fontId="0" fillId="6" borderId="1" xfId="1" applyNumberFormat="1" applyFont="1" applyFill="1" applyBorder="1" applyAlignment="1">
      <alignment horizontal="right" vertical="center"/>
    </xf>
    <xf numFmtId="165" fontId="0" fillId="6" borderId="16" xfId="0" applyNumberFormat="1" applyFill="1" applyBorder="1" applyAlignment="1">
      <alignment horizontal="right"/>
    </xf>
    <xf numFmtId="166" fontId="0" fillId="6" borderId="1" xfId="1" applyNumberFormat="1" applyFont="1" applyFill="1" applyBorder="1" applyAlignment="1">
      <alignment horizontal="right"/>
    </xf>
    <xf numFmtId="165" fontId="0" fillId="6" borderId="13" xfId="0" applyNumberFormat="1" applyFill="1" applyBorder="1" applyAlignment="1">
      <alignment horizontal="right"/>
    </xf>
    <xf numFmtId="164" fontId="0" fillId="6" borderId="13" xfId="1" applyNumberFormat="1" applyFont="1" applyFill="1" applyBorder="1" applyAlignment="1">
      <alignment horizontal="right"/>
    </xf>
    <xf numFmtId="1" fontId="0" fillId="6" borderId="13" xfId="0" applyNumberFormat="1" applyFill="1" applyBorder="1" applyAlignment="1">
      <alignment horizontal="right"/>
    </xf>
    <xf numFmtId="0" fontId="1" fillId="7" borderId="17" xfId="0" applyFont="1" applyFill="1" applyBorder="1" applyAlignment="1">
      <alignment wrapText="1"/>
    </xf>
    <xf numFmtId="166" fontId="0" fillId="6" borderId="17" xfId="1" applyNumberFormat="1" applyFont="1" applyFill="1" applyBorder="1" applyAlignment="1">
      <alignment horizontal="center"/>
    </xf>
    <xf numFmtId="166" fontId="0" fillId="6" borderId="0" xfId="1" applyNumberFormat="1" applyFont="1" applyFill="1" applyBorder="1" applyAlignment="1">
      <alignment horizontal="center"/>
    </xf>
    <xf numFmtId="0" fontId="33" fillId="0" borderId="0" xfId="0" applyFont="1" applyFill="1" applyProtection="1"/>
    <xf numFmtId="0" fontId="34" fillId="0" borderId="4" xfId="0" applyFont="1" applyFill="1" applyBorder="1" applyProtection="1"/>
    <xf numFmtId="0" fontId="0" fillId="0" borderId="5" xfId="0" applyFill="1" applyBorder="1" applyProtection="1"/>
    <xf numFmtId="0" fontId="0" fillId="0" borderId="6" xfId="0" applyFill="1" applyBorder="1" applyProtection="1"/>
    <xf numFmtId="0" fontId="0" fillId="0" borderId="4" xfId="0" applyFill="1" applyBorder="1" applyProtection="1"/>
    <xf numFmtId="0" fontId="35" fillId="0" borderId="6" xfId="0" applyFont="1" applyFill="1" applyBorder="1" applyAlignment="1" applyProtection="1">
      <alignment wrapText="1"/>
    </xf>
    <xf numFmtId="0" fontId="0" fillId="0" borderId="0" xfId="0" applyFill="1" applyAlignment="1" applyProtection="1">
      <alignment wrapText="1"/>
    </xf>
    <xf numFmtId="0" fontId="23" fillId="0" borderId="7" xfId="0" applyFont="1" applyFill="1" applyBorder="1" applyAlignment="1" applyProtection="1">
      <alignment wrapText="1"/>
    </xf>
    <xf numFmtId="0" fontId="23" fillId="0" borderId="0" xfId="0" applyFont="1" applyFill="1" applyBorder="1" applyAlignment="1" applyProtection="1">
      <alignment wrapText="1"/>
    </xf>
    <xf numFmtId="0" fontId="36" fillId="0" borderId="8" xfId="0" applyFont="1" applyFill="1" applyBorder="1" applyAlignment="1" applyProtection="1">
      <alignment wrapText="1"/>
    </xf>
    <xf numFmtId="0" fontId="0" fillId="0" borderId="7" xfId="0" applyFill="1" applyBorder="1" applyAlignment="1" applyProtection="1">
      <alignment wrapText="1"/>
    </xf>
    <xf numFmtId="0" fontId="35" fillId="0" borderId="0" xfId="0" applyFont="1" applyFill="1" applyAlignment="1" applyProtection="1">
      <alignment wrapText="1"/>
    </xf>
    <xf numFmtId="164" fontId="0" fillId="0" borderId="7" xfId="1" applyNumberFormat="1" applyFont="1" applyFill="1" applyBorder="1" applyProtection="1"/>
    <xf numFmtId="164" fontId="0" fillId="0" borderId="0" xfId="1" applyNumberFormat="1" applyFont="1" applyFill="1" applyBorder="1" applyProtection="1"/>
    <xf numFmtId="164" fontId="0" fillId="0" borderId="8" xfId="1" applyNumberFormat="1" applyFont="1" applyFill="1" applyBorder="1" applyProtection="1"/>
    <xf numFmtId="0" fontId="23" fillId="0" borderId="7" xfId="0" applyFont="1" applyFill="1" applyBorder="1" applyProtection="1"/>
    <xf numFmtId="164" fontId="0" fillId="0" borderId="0" xfId="0" applyNumberFormat="1" applyFill="1" applyProtection="1"/>
    <xf numFmtId="0" fontId="23" fillId="0" borderId="18" xfId="0" applyFont="1" applyFill="1" applyBorder="1" applyProtection="1"/>
    <xf numFmtId="164" fontId="0" fillId="0" borderId="11" xfId="1" applyNumberFormat="1" applyFont="1" applyFill="1" applyBorder="1" applyProtection="1"/>
    <xf numFmtId="0" fontId="23" fillId="0" borderId="1" xfId="0" applyFont="1" applyFill="1" applyBorder="1" applyAlignment="1" applyProtection="1">
      <alignment wrapText="1"/>
    </xf>
    <xf numFmtId="0" fontId="36" fillId="0" borderId="1" xfId="0" applyFont="1" applyFill="1" applyBorder="1" applyAlignment="1" applyProtection="1">
      <alignment wrapText="1"/>
    </xf>
    <xf numFmtId="43" fontId="23" fillId="0" borderId="1" xfId="1" applyFont="1" applyFill="1" applyBorder="1" applyProtection="1"/>
    <xf numFmtId="0" fontId="29" fillId="0" borderId="0" xfId="0" applyFont="1" applyAlignment="1" applyProtection="1">
      <alignment horizontal="left"/>
      <protection locked="0"/>
    </xf>
    <xf numFmtId="0" fontId="29" fillId="0" borderId="1" xfId="0" applyFont="1" applyBorder="1" applyAlignment="1" applyProtection="1">
      <alignment horizontal="left"/>
      <protection locked="0"/>
    </xf>
    <xf numFmtId="0" fontId="29" fillId="16" borderId="0" xfId="0" applyFont="1" applyFill="1" applyAlignment="1" applyProtection="1">
      <alignment horizontal="left"/>
      <protection locked="0"/>
    </xf>
    <xf numFmtId="43" fontId="0" fillId="0" borderId="0" xfId="1" applyFont="1"/>
    <xf numFmtId="165" fontId="0" fillId="6" borderId="1" xfId="0" applyNumberFormat="1" applyFont="1" applyFill="1" applyBorder="1"/>
    <xf numFmtId="0" fontId="30" fillId="6" borderId="0" xfId="0" applyFont="1" applyFill="1" applyBorder="1" applyAlignment="1"/>
    <xf numFmtId="0" fontId="32" fillId="6" borderId="1" xfId="0" applyFont="1" applyFill="1" applyBorder="1" applyAlignment="1" applyProtection="1">
      <alignment wrapText="1"/>
    </xf>
    <xf numFmtId="0" fontId="31" fillId="7" borderId="1" xfId="0" applyFont="1" applyFill="1" applyBorder="1" applyAlignment="1"/>
    <xf numFmtId="1" fontId="1" fillId="7" borderId="1" xfId="0" applyNumberFormat="1" applyFont="1" applyFill="1" applyBorder="1"/>
    <xf numFmtId="165" fontId="0" fillId="0" borderId="0" xfId="1" applyNumberFormat="1" applyFont="1"/>
    <xf numFmtId="0" fontId="0" fillId="0" borderId="1" xfId="0" applyBorder="1" applyAlignment="1" applyProtection="1">
      <alignment horizontal="right"/>
      <protection locked="0"/>
    </xf>
    <xf numFmtId="0" fontId="0" fillId="9" borderId="1" xfId="0" applyFill="1" applyBorder="1" applyAlignment="1">
      <alignment horizontal="right" wrapText="1"/>
    </xf>
    <xf numFmtId="0" fontId="5" fillId="0" borderId="1" xfId="0" applyFont="1" applyBorder="1" applyAlignment="1" applyProtection="1">
      <alignment horizontal="right"/>
      <protection locked="0"/>
    </xf>
    <xf numFmtId="0" fontId="0" fillId="9" borderId="1" xfId="0" applyFill="1" applyBorder="1" applyAlignment="1" applyProtection="1">
      <alignment horizontal="right"/>
      <protection locked="0"/>
    </xf>
    <xf numFmtId="0" fontId="0" fillId="0" borderId="1" xfId="0" applyFont="1" applyBorder="1" applyAlignment="1" applyProtection="1">
      <alignment horizontal="right"/>
      <protection locked="0"/>
    </xf>
    <xf numFmtId="0" fontId="0" fillId="10" borderId="1" xfId="0" applyFill="1" applyBorder="1" applyAlignment="1" applyProtection="1">
      <alignment horizontal="right"/>
      <protection locked="0"/>
    </xf>
    <xf numFmtId="164" fontId="0" fillId="0" borderId="1" xfId="1" applyNumberFormat="1" applyFont="1" applyBorder="1" applyAlignment="1" applyProtection="1">
      <alignment horizontal="right"/>
      <protection locked="0"/>
    </xf>
    <xf numFmtId="164" fontId="22" fillId="0" borderId="1" xfId="1" applyNumberFormat="1" applyFont="1" applyFill="1" applyBorder="1" applyProtection="1"/>
    <xf numFmtId="164" fontId="0" fillId="9" borderId="1" xfId="1" applyNumberFormat="1" applyFont="1" applyFill="1" applyBorder="1" applyAlignment="1">
      <alignment horizontal="right" wrapText="1"/>
    </xf>
    <xf numFmtId="164" fontId="5" fillId="0" borderId="1" xfId="1" applyNumberFormat="1" applyFont="1" applyBorder="1" applyAlignment="1" applyProtection="1">
      <alignment horizontal="right"/>
      <protection locked="0"/>
    </xf>
    <xf numFmtId="0" fontId="0" fillId="6" borderId="0" xfId="0" applyFill="1"/>
    <xf numFmtId="166" fontId="0" fillId="6" borderId="1" xfId="1" applyNumberFormat="1" applyFont="1" applyFill="1" applyBorder="1"/>
    <xf numFmtId="166" fontId="0" fillId="0" borderId="1" xfId="1" applyNumberFormat="1" applyFont="1" applyBorder="1"/>
    <xf numFmtId="0" fontId="37" fillId="6" borderId="7" xfId="0" applyFont="1" applyFill="1" applyBorder="1"/>
    <xf numFmtId="164" fontId="22" fillId="0" borderId="0" xfId="1" applyNumberFormat="1" applyFont="1" applyFill="1" applyBorder="1" applyProtection="1"/>
    <xf numFmtId="164" fontId="22" fillId="0" borderId="19" xfId="1" applyNumberFormat="1" applyFont="1" applyFill="1" applyBorder="1" applyProtection="1"/>
    <xf numFmtId="164" fontId="0" fillId="9" borderId="19" xfId="1" applyNumberFormat="1" applyFont="1" applyFill="1" applyBorder="1" applyAlignment="1">
      <alignment horizontal="right" wrapText="1"/>
    </xf>
    <xf numFmtId="0" fontId="0" fillId="10" borderId="1" xfId="0" applyFont="1" applyFill="1" applyBorder="1" applyAlignment="1" applyProtection="1">
      <alignment horizontal="left"/>
      <protection locked="0"/>
    </xf>
    <xf numFmtId="0" fontId="0" fillId="9" borderId="1" xfId="0" applyFont="1" applyFill="1" applyBorder="1" applyAlignment="1" applyProtection="1">
      <alignment horizontal="left"/>
      <protection locked="0"/>
    </xf>
    <xf numFmtId="0" fontId="5" fillId="9" borderId="1" xfId="0" applyFont="1" applyFill="1" applyBorder="1" applyAlignment="1" applyProtection="1">
      <alignment horizontal="left"/>
      <protection locked="0"/>
    </xf>
    <xf numFmtId="0" fontId="5" fillId="10" borderId="1" xfId="0" applyFont="1" applyFill="1" applyBorder="1" applyAlignment="1" applyProtection="1">
      <alignment horizontal="left"/>
      <protection locked="0"/>
    </xf>
    <xf numFmtId="0" fontId="23" fillId="12" borderId="1" xfId="0" applyFont="1" applyFill="1" applyBorder="1" applyAlignment="1" applyProtection="1"/>
    <xf numFmtId="164" fontId="0" fillId="12" borderId="1" xfId="1" applyNumberFormat="1" applyFont="1" applyFill="1" applyBorder="1" applyAlignment="1" applyProtection="1">
      <alignment horizontal="right"/>
      <protection locked="0"/>
    </xf>
    <xf numFmtId="164" fontId="5" fillId="12" borderId="1" xfId="1" applyNumberFormat="1" applyFont="1" applyFill="1" applyBorder="1" applyAlignment="1" applyProtection="1">
      <alignment horizontal="right"/>
      <protection locked="0"/>
    </xf>
    <xf numFmtId="0" fontId="0" fillId="0" borderId="0" xfId="0" applyBorder="1"/>
    <xf numFmtId="0" fontId="37" fillId="12" borderId="15" xfId="5" applyFont="1" applyFill="1" applyAlignment="1"/>
    <xf numFmtId="0" fontId="37" fillId="0" borderId="0" xfId="0" applyFont="1"/>
    <xf numFmtId="0" fontId="8" fillId="12" borderId="0" xfId="2" applyFont="1" applyFill="1" applyBorder="1"/>
    <xf numFmtId="0" fontId="10" fillId="12" borderId="0" xfId="3" applyFont="1" applyFill="1" applyBorder="1"/>
    <xf numFmtId="0" fontId="8" fillId="4" borderId="1" xfId="2" applyFont="1" applyBorder="1"/>
    <xf numFmtId="0" fontId="38" fillId="0" borderId="0" xfId="0" applyFont="1" applyBorder="1"/>
    <xf numFmtId="0" fontId="3" fillId="12" borderId="1" xfId="0" applyFont="1" applyFill="1" applyBorder="1"/>
    <xf numFmtId="167" fontId="3" fillId="12" borderId="1" xfId="0" applyNumberFormat="1" applyFont="1" applyFill="1" applyBorder="1" applyAlignment="1" applyProtection="1">
      <alignment horizontal="right"/>
      <protection locked="0"/>
    </xf>
    <xf numFmtId="0" fontId="38" fillId="0" borderId="22" xfId="0" applyFont="1" applyBorder="1"/>
    <xf numFmtId="0" fontId="38" fillId="0" borderId="3" xfId="0" applyFont="1" applyBorder="1"/>
    <xf numFmtId="0" fontId="25" fillId="0" borderId="1" xfId="0" applyFont="1" applyBorder="1"/>
    <xf numFmtId="0" fontId="38" fillId="0" borderId="14" xfId="0" applyFont="1" applyBorder="1"/>
    <xf numFmtId="0" fontId="38" fillId="0" borderId="20" xfId="0" applyFont="1" applyBorder="1"/>
    <xf numFmtId="0" fontId="38" fillId="0" borderId="21" xfId="0" applyFont="1" applyBorder="1"/>
    <xf numFmtId="0" fontId="38" fillId="0" borderId="0" xfId="0" applyFont="1"/>
    <xf numFmtId="0" fontId="25" fillId="0" borderId="0" xfId="0" applyFont="1" applyFill="1" applyBorder="1"/>
    <xf numFmtId="0" fontId="38" fillId="0" borderId="0" xfId="0" applyFont="1" applyAlignment="1">
      <alignment horizontal="left" wrapText="1"/>
    </xf>
    <xf numFmtId="0" fontId="2" fillId="17" borderId="1" xfId="0" applyFont="1" applyFill="1" applyBorder="1"/>
    <xf numFmtId="0" fontId="2" fillId="17" borderId="1" xfId="0" applyFont="1" applyFill="1" applyBorder="1" applyAlignment="1">
      <alignment wrapText="1"/>
    </xf>
    <xf numFmtId="0" fontId="2" fillId="17" borderId="14" xfId="0" applyFont="1" applyFill="1" applyBorder="1" applyAlignment="1"/>
    <xf numFmtId="0" fontId="38" fillId="17" borderId="22" xfId="0" applyFont="1" applyFill="1" applyBorder="1"/>
    <xf numFmtId="0" fontId="38" fillId="17" borderId="3" xfId="0" applyFont="1" applyFill="1" applyBorder="1"/>
    <xf numFmtId="0" fontId="38" fillId="0" borderId="0" xfId="0" applyFont="1" applyAlignment="1">
      <alignment horizontal="left" wrapText="1"/>
    </xf>
    <xf numFmtId="0" fontId="1" fillId="7" borderId="10" xfId="0" applyFont="1" applyFill="1" applyBorder="1" applyAlignment="1">
      <alignment horizontal="center"/>
    </xf>
    <xf numFmtId="0" fontId="0" fillId="7" borderId="3" xfId="0" applyFill="1" applyBorder="1" applyAlignment="1">
      <alignment horizontal="center"/>
    </xf>
    <xf numFmtId="0" fontId="15" fillId="6" borderId="4" xfId="0" applyFont="1" applyFill="1" applyBorder="1" applyAlignment="1">
      <alignment horizontal="center"/>
    </xf>
    <xf numFmtId="0" fontId="0" fillId="6" borderId="5" xfId="0" applyFill="1" applyBorder="1" applyAlignment="1">
      <alignment horizontal="center"/>
    </xf>
    <xf numFmtId="0" fontId="0" fillId="6" borderId="6" xfId="0" applyFill="1" applyBorder="1" applyAlignment="1">
      <alignment horizontal="center"/>
    </xf>
    <xf numFmtId="0" fontId="1" fillId="7" borderId="9" xfId="0" applyFont="1" applyFill="1" applyBorder="1" applyAlignment="1" applyProtection="1">
      <alignment horizontal="center" wrapText="1"/>
      <protection locked="0"/>
    </xf>
    <xf numFmtId="0" fontId="1" fillId="7" borderId="1" xfId="0" applyFont="1" applyFill="1" applyBorder="1" applyAlignment="1" applyProtection="1">
      <alignment horizontal="center" wrapText="1"/>
      <protection locked="0"/>
    </xf>
  </cellXfs>
  <cellStyles count="6">
    <cellStyle name="God" xfId="3" builtinId="26"/>
    <cellStyle name="Inndata" xfId="2" builtinId="20"/>
    <cellStyle name="Komma" xfId="1" builtinId="3"/>
    <cellStyle name="Merknad" xfId="5" builtinId="10"/>
    <cellStyle name="Normal" xfId="0" builtinId="0"/>
    <cellStyle name="Normal 2" xfId="4"/>
  </cellStyles>
  <dxfs count="0"/>
  <tableStyles count="0" defaultTableStyle="TableStyleMedium2" defaultPivotStyle="PivotStyleLight16"/>
  <colors>
    <mruColors>
      <color rgb="FFCCFF99"/>
      <color rgb="FFFF0000"/>
      <color rgb="FFFF33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Befolkningsutvikling siste 10 år</a:t>
            </a:r>
          </a:p>
        </c:rich>
      </c:tx>
      <c:layout/>
      <c:overlay val="0"/>
    </c:title>
    <c:autoTitleDeleted val="0"/>
    <c:plotArea>
      <c:layout>
        <c:manualLayout>
          <c:layoutTarget val="inner"/>
          <c:xMode val="edge"/>
          <c:yMode val="edge"/>
          <c:x val="0.12018612078375873"/>
          <c:y val="0.20260961232304978"/>
          <c:w val="0.84314720292577505"/>
          <c:h val="0.63317370164794973"/>
        </c:manualLayout>
      </c:layout>
      <c:lineChart>
        <c:grouping val="standard"/>
        <c:varyColors val="0"/>
        <c:ser>
          <c:idx val="0"/>
          <c:order val="0"/>
          <c:cat>
            <c:strRef>
              <c:f>Kommunedata!$C$27:$N$27</c:f>
              <c:strCache>
                <c:ptCount val="12"/>
                <c:pt idx="0">
                  <c:v>2004</c:v>
                </c:pt>
                <c:pt idx="1">
                  <c:v>2005</c:v>
                </c:pt>
                <c:pt idx="2">
                  <c:v>2006</c:v>
                </c:pt>
                <c:pt idx="3">
                  <c:v>2007</c:v>
                </c:pt>
                <c:pt idx="4">
                  <c:v>2008</c:v>
                </c:pt>
                <c:pt idx="5">
                  <c:v>2009</c:v>
                </c:pt>
                <c:pt idx="6">
                  <c:v>2010</c:v>
                </c:pt>
                <c:pt idx="7">
                  <c:v>2011</c:v>
                </c:pt>
                <c:pt idx="8">
                  <c:v>2012</c:v>
                </c:pt>
                <c:pt idx="9">
                  <c:v>2013</c:v>
                </c:pt>
                <c:pt idx="10">
                  <c:v>2014</c:v>
                </c:pt>
                <c:pt idx="11">
                  <c:v>2015 (2 kv.)</c:v>
                </c:pt>
              </c:strCache>
            </c:strRef>
          </c:cat>
          <c:val>
            <c:numRef>
              <c:f>Kommunedata!$C$28:$N$28</c:f>
              <c:numCache>
                <c:formatCode>General</c:formatCode>
                <c:ptCount val="12"/>
                <c:pt idx="0">
                  <c:v>1934</c:v>
                </c:pt>
                <c:pt idx="1">
                  <c:v>1932</c:v>
                </c:pt>
                <c:pt idx="2">
                  <c:v>1911</c:v>
                </c:pt>
                <c:pt idx="3">
                  <c:v>1893</c:v>
                </c:pt>
                <c:pt idx="4">
                  <c:v>1869</c:v>
                </c:pt>
                <c:pt idx="5">
                  <c:v>1888</c:v>
                </c:pt>
                <c:pt idx="6">
                  <c:v>1894</c:v>
                </c:pt>
                <c:pt idx="7">
                  <c:v>1909</c:v>
                </c:pt>
                <c:pt idx="8">
                  <c:v>1942</c:v>
                </c:pt>
                <c:pt idx="9">
                  <c:v>1941</c:v>
                </c:pt>
                <c:pt idx="10">
                  <c:v>1898</c:v>
                </c:pt>
                <c:pt idx="11">
                  <c:v>1885</c:v>
                </c:pt>
              </c:numCache>
            </c:numRef>
          </c:val>
          <c:smooth val="0"/>
        </c:ser>
        <c:dLbls>
          <c:showLegendKey val="0"/>
          <c:showVal val="0"/>
          <c:showCatName val="0"/>
          <c:showSerName val="0"/>
          <c:showPercent val="0"/>
          <c:showBubbleSize val="0"/>
        </c:dLbls>
        <c:marker val="1"/>
        <c:smooth val="0"/>
        <c:axId val="330919792"/>
        <c:axId val="330919400"/>
      </c:lineChart>
      <c:valAx>
        <c:axId val="330919400"/>
        <c:scaling>
          <c:orientation val="minMax"/>
        </c:scaling>
        <c:delete val="0"/>
        <c:axPos val="l"/>
        <c:majorGridlines/>
        <c:numFmt formatCode="#,##0" sourceLinked="0"/>
        <c:majorTickMark val="out"/>
        <c:minorTickMark val="none"/>
        <c:tickLblPos val="nextTo"/>
        <c:crossAx val="330919792"/>
        <c:crosses val="autoZero"/>
        <c:crossBetween val="between"/>
      </c:valAx>
      <c:catAx>
        <c:axId val="330919792"/>
        <c:scaling>
          <c:orientation val="minMax"/>
        </c:scaling>
        <c:delete val="0"/>
        <c:axPos val="b"/>
        <c:numFmt formatCode="General" sourceLinked="1"/>
        <c:majorTickMark val="out"/>
        <c:minorTickMark val="none"/>
        <c:tickLblPos val="nextTo"/>
        <c:crossAx val="330919400"/>
        <c:crosses val="autoZero"/>
        <c:auto val="1"/>
        <c:lblAlgn val="ctr"/>
        <c:lblOffset val="100"/>
        <c:noMultiLvlLbl val="0"/>
      </c:catAx>
      <c:spPr>
        <a:solidFill>
          <a:schemeClr val="accent1">
            <a:alpha val="20000"/>
          </a:schemeClr>
        </a:solidFill>
      </c:spPr>
    </c:plotArea>
    <c:plotVisOnly val="1"/>
    <c:dispBlanksAs val="gap"/>
    <c:showDLblsOverMax val="0"/>
  </c:chart>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Netto driftsresultat i prosent av brutto driftsinntekter</a:t>
            </a:r>
          </a:p>
        </c:rich>
      </c:tx>
      <c:layout>
        <c:manualLayout>
          <c:xMode val="edge"/>
          <c:yMode val="edge"/>
          <c:x val="0.17704648299038461"/>
          <c:y val="0.10424082931278153"/>
        </c:manualLayout>
      </c:layout>
      <c:overlay val="0"/>
    </c:title>
    <c:autoTitleDeleted val="0"/>
    <c:plotArea>
      <c:layout>
        <c:manualLayout>
          <c:layoutTarget val="inner"/>
          <c:xMode val="edge"/>
          <c:yMode val="edge"/>
          <c:x val="7.2716910386201719E-2"/>
          <c:y val="0.29121615498388437"/>
          <c:w val="0.88918785151856017"/>
          <c:h val="0.49697778005762311"/>
        </c:manualLayout>
      </c:layout>
      <c:lineChart>
        <c:grouping val="standard"/>
        <c:varyColors val="0"/>
        <c:ser>
          <c:idx val="0"/>
          <c:order val="0"/>
          <c:tx>
            <c:strRef>
              <c:f>Kommunedata!$B$69</c:f>
              <c:strCache>
                <c:ptCount val="1"/>
                <c:pt idx="0">
                  <c:v>Storfjord</c:v>
                </c:pt>
              </c:strCache>
            </c:strRef>
          </c:tx>
          <c:marker>
            <c:symbol val="none"/>
          </c:marker>
          <c:cat>
            <c:strRef>
              <c:f>Kommunedata!$E$68:$I$68</c:f>
              <c:strCache>
                <c:ptCount val="5"/>
                <c:pt idx="0">
                  <c:v>2010</c:v>
                </c:pt>
                <c:pt idx="1">
                  <c:v>2011</c:v>
                </c:pt>
                <c:pt idx="2">
                  <c:v>2012</c:v>
                </c:pt>
                <c:pt idx="3">
                  <c:v>2013</c:v>
                </c:pt>
                <c:pt idx="4">
                  <c:v>2014</c:v>
                </c:pt>
              </c:strCache>
            </c:strRef>
          </c:cat>
          <c:val>
            <c:numRef>
              <c:f>Kommunedata!$E$69:$I$69</c:f>
              <c:numCache>
                <c:formatCode>0.0</c:formatCode>
                <c:ptCount val="5"/>
                <c:pt idx="0">
                  <c:v>-5.7</c:v>
                </c:pt>
                <c:pt idx="1">
                  <c:v>-1.3</c:v>
                </c:pt>
                <c:pt idx="2">
                  <c:v>-1.4</c:v>
                </c:pt>
                <c:pt idx="3">
                  <c:v>2.2000000000000002</c:v>
                </c:pt>
                <c:pt idx="4">
                  <c:v>5</c:v>
                </c:pt>
              </c:numCache>
            </c:numRef>
          </c:val>
          <c:smooth val="0"/>
        </c:ser>
        <c:ser>
          <c:idx val="1"/>
          <c:order val="1"/>
          <c:tx>
            <c:strRef>
              <c:f>Kommunedata!$B$70</c:f>
              <c:strCache>
                <c:ptCount val="1"/>
                <c:pt idx="0">
                  <c:v>Landet uten Oslo</c:v>
                </c:pt>
              </c:strCache>
            </c:strRef>
          </c:tx>
          <c:marker>
            <c:symbol val="none"/>
          </c:marker>
          <c:cat>
            <c:strRef>
              <c:f>Kommunedata!$E$68:$I$68</c:f>
              <c:strCache>
                <c:ptCount val="5"/>
                <c:pt idx="0">
                  <c:v>2010</c:v>
                </c:pt>
                <c:pt idx="1">
                  <c:v>2011</c:v>
                </c:pt>
                <c:pt idx="2">
                  <c:v>2012</c:v>
                </c:pt>
                <c:pt idx="3">
                  <c:v>2013</c:v>
                </c:pt>
                <c:pt idx="4">
                  <c:v>2014</c:v>
                </c:pt>
              </c:strCache>
            </c:strRef>
          </c:cat>
          <c:val>
            <c:numRef>
              <c:f>Kommunedata!$E$70:$I$70</c:f>
              <c:numCache>
                <c:formatCode>0.0</c:formatCode>
                <c:ptCount val="5"/>
                <c:pt idx="0">
                  <c:v>2.5</c:v>
                </c:pt>
                <c:pt idx="1">
                  <c:v>2.1</c:v>
                </c:pt>
                <c:pt idx="2">
                  <c:v>2.9</c:v>
                </c:pt>
                <c:pt idx="3">
                  <c:v>2.7</c:v>
                </c:pt>
                <c:pt idx="4">
                  <c:v>1.2</c:v>
                </c:pt>
              </c:numCache>
            </c:numRef>
          </c:val>
          <c:smooth val="0"/>
        </c:ser>
        <c:ser>
          <c:idx val="2"/>
          <c:order val="2"/>
          <c:tx>
            <c:strRef>
              <c:f>Kommunedata!$B$71</c:f>
              <c:strCache>
                <c:ptCount val="1"/>
                <c:pt idx="0">
                  <c:v>Troms</c:v>
                </c:pt>
              </c:strCache>
            </c:strRef>
          </c:tx>
          <c:marker>
            <c:symbol val="none"/>
          </c:marker>
          <c:cat>
            <c:strRef>
              <c:f>Kommunedata!$E$68:$I$68</c:f>
              <c:strCache>
                <c:ptCount val="5"/>
                <c:pt idx="0">
                  <c:v>2010</c:v>
                </c:pt>
                <c:pt idx="1">
                  <c:v>2011</c:v>
                </c:pt>
                <c:pt idx="2">
                  <c:v>2012</c:v>
                </c:pt>
                <c:pt idx="3">
                  <c:v>2013</c:v>
                </c:pt>
                <c:pt idx="4">
                  <c:v>2014</c:v>
                </c:pt>
              </c:strCache>
            </c:strRef>
          </c:cat>
          <c:val>
            <c:numRef>
              <c:f>Kommunedata!$E$71:$I$71</c:f>
              <c:numCache>
                <c:formatCode>0.0</c:formatCode>
                <c:ptCount val="5"/>
                <c:pt idx="0">
                  <c:v>2.6</c:v>
                </c:pt>
                <c:pt idx="1">
                  <c:v>1.4</c:v>
                </c:pt>
                <c:pt idx="2">
                  <c:v>2.4</c:v>
                </c:pt>
                <c:pt idx="3">
                  <c:v>1.7</c:v>
                </c:pt>
                <c:pt idx="4">
                  <c:v>0.1</c:v>
                </c:pt>
              </c:numCache>
            </c:numRef>
          </c:val>
          <c:smooth val="0"/>
        </c:ser>
        <c:ser>
          <c:idx val="3"/>
          <c:order val="3"/>
          <c:tx>
            <c:strRef>
              <c:f>Kommunedata!$B$72</c:f>
              <c:strCache>
                <c:ptCount val="1"/>
                <c:pt idx="0">
                  <c:v>Kostragruppe 06</c:v>
                </c:pt>
              </c:strCache>
            </c:strRef>
          </c:tx>
          <c:marker>
            <c:symbol val="none"/>
          </c:marker>
          <c:cat>
            <c:strRef>
              <c:f>Kommunedata!$E$68:$I$68</c:f>
              <c:strCache>
                <c:ptCount val="5"/>
                <c:pt idx="0">
                  <c:v>2010</c:v>
                </c:pt>
                <c:pt idx="1">
                  <c:v>2011</c:v>
                </c:pt>
                <c:pt idx="2">
                  <c:v>2012</c:v>
                </c:pt>
                <c:pt idx="3">
                  <c:v>2013</c:v>
                </c:pt>
                <c:pt idx="4">
                  <c:v>2014</c:v>
                </c:pt>
              </c:strCache>
            </c:strRef>
          </c:cat>
          <c:val>
            <c:numRef>
              <c:f>Kommunedata!$E$72:$I$72</c:f>
              <c:numCache>
                <c:formatCode>0.0</c:formatCode>
                <c:ptCount val="5"/>
                <c:pt idx="0">
                  <c:v>3.3</c:v>
                </c:pt>
                <c:pt idx="1">
                  <c:v>3.1</c:v>
                </c:pt>
                <c:pt idx="2">
                  <c:v>3.5</c:v>
                </c:pt>
                <c:pt idx="3">
                  <c:v>2.6</c:v>
                </c:pt>
                <c:pt idx="4">
                  <c:v>2.2000000000000002</c:v>
                </c:pt>
              </c:numCache>
            </c:numRef>
          </c:val>
          <c:smooth val="0"/>
        </c:ser>
        <c:dLbls>
          <c:showLegendKey val="0"/>
          <c:showVal val="0"/>
          <c:showCatName val="0"/>
          <c:showSerName val="0"/>
          <c:showPercent val="0"/>
          <c:showBubbleSize val="0"/>
        </c:dLbls>
        <c:smooth val="0"/>
        <c:axId val="330918616"/>
        <c:axId val="258784720"/>
      </c:lineChart>
      <c:catAx>
        <c:axId val="330918616"/>
        <c:scaling>
          <c:orientation val="minMax"/>
        </c:scaling>
        <c:delete val="0"/>
        <c:axPos val="b"/>
        <c:numFmt formatCode="General" sourceLinked="1"/>
        <c:majorTickMark val="out"/>
        <c:minorTickMark val="none"/>
        <c:tickLblPos val="nextTo"/>
        <c:crossAx val="258784720"/>
        <c:crossesAt val="0"/>
        <c:auto val="1"/>
        <c:lblAlgn val="ctr"/>
        <c:lblOffset val="100"/>
        <c:noMultiLvlLbl val="0"/>
      </c:catAx>
      <c:valAx>
        <c:axId val="258784720"/>
        <c:scaling>
          <c:orientation val="minMax"/>
        </c:scaling>
        <c:delete val="0"/>
        <c:axPos val="l"/>
        <c:majorGridlines/>
        <c:numFmt formatCode="0.0" sourceLinked="1"/>
        <c:majorTickMark val="out"/>
        <c:minorTickMark val="none"/>
        <c:tickLblPos val="nextTo"/>
        <c:crossAx val="330918616"/>
        <c:crossesAt val="1"/>
        <c:crossBetween val="between"/>
        <c:majorUnit val="1"/>
      </c:valAx>
      <c:spPr>
        <a:solidFill>
          <a:schemeClr val="accent1">
            <a:alpha val="20000"/>
          </a:schemeClr>
        </a:solidFill>
      </c:spPr>
    </c:plotArea>
    <c:legend>
      <c:legendPos val="b"/>
      <c:layout/>
      <c:overlay val="0"/>
    </c:legend>
    <c:plotVisOnly val="1"/>
    <c:dispBlanksAs val="gap"/>
    <c:showDLblsOverMax val="0"/>
  </c:chart>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Netto lånegjeld i prosent av brutto driftsinntekter</a:t>
            </a:r>
          </a:p>
        </c:rich>
      </c:tx>
      <c:layout>
        <c:manualLayout>
          <c:xMode val="edge"/>
          <c:yMode val="edge"/>
          <c:x val="0.17879230669936746"/>
          <c:y val="7.5382803297997639E-2"/>
        </c:manualLayout>
      </c:layout>
      <c:overlay val="0"/>
    </c:title>
    <c:autoTitleDeleted val="0"/>
    <c:plotArea>
      <c:layout/>
      <c:barChart>
        <c:barDir val="col"/>
        <c:grouping val="clustered"/>
        <c:varyColors val="0"/>
        <c:ser>
          <c:idx val="0"/>
          <c:order val="0"/>
          <c:tx>
            <c:strRef>
              <c:f>Kommunedata!$B$77</c:f>
              <c:strCache>
                <c:ptCount val="1"/>
                <c:pt idx="0">
                  <c:v>Storfjord</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Kommunedata!$E$76:$I$76</c:f>
              <c:strCache>
                <c:ptCount val="5"/>
                <c:pt idx="0">
                  <c:v>2010</c:v>
                </c:pt>
                <c:pt idx="1">
                  <c:v>2011</c:v>
                </c:pt>
                <c:pt idx="2">
                  <c:v>2012</c:v>
                </c:pt>
                <c:pt idx="3">
                  <c:v>2013</c:v>
                </c:pt>
                <c:pt idx="4">
                  <c:v>2014</c:v>
                </c:pt>
              </c:strCache>
            </c:strRef>
          </c:cat>
          <c:val>
            <c:numRef>
              <c:f>Kommunedata!$E$77:$I$77</c:f>
              <c:numCache>
                <c:formatCode>0.0</c:formatCode>
                <c:ptCount val="5"/>
                <c:pt idx="0">
                  <c:v>71.7</c:v>
                </c:pt>
                <c:pt idx="1">
                  <c:v>82.1</c:v>
                </c:pt>
                <c:pt idx="2">
                  <c:v>82.1</c:v>
                </c:pt>
                <c:pt idx="3">
                  <c:v>82.2</c:v>
                </c:pt>
                <c:pt idx="4">
                  <c:v>76.2</c:v>
                </c:pt>
              </c:numCache>
            </c:numRef>
          </c:val>
        </c:ser>
        <c:ser>
          <c:idx val="1"/>
          <c:order val="1"/>
          <c:tx>
            <c:strRef>
              <c:f>Kommunedata!$B$78</c:f>
              <c:strCache>
                <c:ptCount val="1"/>
                <c:pt idx="0">
                  <c:v>Landet uten Oslo</c:v>
                </c:pt>
              </c:strCache>
            </c:strRef>
          </c:tx>
          <c:invertIfNegative val="0"/>
          <c:cat>
            <c:strRef>
              <c:f>Kommunedata!$E$76:$I$76</c:f>
              <c:strCache>
                <c:ptCount val="5"/>
                <c:pt idx="0">
                  <c:v>2010</c:v>
                </c:pt>
                <c:pt idx="1">
                  <c:v>2011</c:v>
                </c:pt>
                <c:pt idx="2">
                  <c:v>2012</c:v>
                </c:pt>
                <c:pt idx="3">
                  <c:v>2013</c:v>
                </c:pt>
                <c:pt idx="4">
                  <c:v>2014</c:v>
                </c:pt>
              </c:strCache>
            </c:strRef>
          </c:cat>
          <c:val>
            <c:numRef>
              <c:f>Kommunedata!$E$78:$I$78</c:f>
              <c:numCache>
                <c:formatCode>0.0</c:formatCode>
                <c:ptCount val="5"/>
                <c:pt idx="0">
                  <c:v>72.599999999999994</c:v>
                </c:pt>
                <c:pt idx="1">
                  <c:v>74</c:v>
                </c:pt>
                <c:pt idx="2">
                  <c:v>73.7</c:v>
                </c:pt>
                <c:pt idx="3">
                  <c:v>75.900000000000006</c:v>
                </c:pt>
                <c:pt idx="4">
                  <c:v>79.3</c:v>
                </c:pt>
              </c:numCache>
            </c:numRef>
          </c:val>
        </c:ser>
        <c:ser>
          <c:idx val="2"/>
          <c:order val="2"/>
          <c:tx>
            <c:strRef>
              <c:f>Kommunedata!$B$79</c:f>
              <c:strCache>
                <c:ptCount val="1"/>
                <c:pt idx="0">
                  <c:v>Troms</c:v>
                </c:pt>
              </c:strCache>
            </c:strRef>
          </c:tx>
          <c:invertIfNegative val="0"/>
          <c:cat>
            <c:strRef>
              <c:f>Kommunedata!$E$76:$I$76</c:f>
              <c:strCache>
                <c:ptCount val="5"/>
                <c:pt idx="0">
                  <c:v>2010</c:v>
                </c:pt>
                <c:pt idx="1">
                  <c:v>2011</c:v>
                </c:pt>
                <c:pt idx="2">
                  <c:v>2012</c:v>
                </c:pt>
                <c:pt idx="3">
                  <c:v>2013</c:v>
                </c:pt>
                <c:pt idx="4">
                  <c:v>2014</c:v>
                </c:pt>
              </c:strCache>
            </c:strRef>
          </c:cat>
          <c:val>
            <c:numRef>
              <c:f>Kommunedata!$E$79:$I$79</c:f>
              <c:numCache>
                <c:formatCode>0.0</c:formatCode>
                <c:ptCount val="5"/>
                <c:pt idx="0">
                  <c:v>91.5</c:v>
                </c:pt>
                <c:pt idx="1">
                  <c:v>89.9</c:v>
                </c:pt>
                <c:pt idx="2">
                  <c:v>89.3</c:v>
                </c:pt>
                <c:pt idx="3">
                  <c:v>90.3</c:v>
                </c:pt>
                <c:pt idx="4">
                  <c:v>91.7</c:v>
                </c:pt>
              </c:numCache>
            </c:numRef>
          </c:val>
        </c:ser>
        <c:ser>
          <c:idx val="3"/>
          <c:order val="3"/>
          <c:tx>
            <c:strRef>
              <c:f>Kommunedata!$B$80</c:f>
              <c:strCache>
                <c:ptCount val="1"/>
                <c:pt idx="0">
                  <c:v>Kostragruppe 06</c:v>
                </c:pt>
              </c:strCache>
            </c:strRef>
          </c:tx>
          <c:invertIfNegative val="0"/>
          <c:cat>
            <c:strRef>
              <c:f>Kommunedata!$E$76:$I$76</c:f>
              <c:strCache>
                <c:ptCount val="5"/>
                <c:pt idx="0">
                  <c:v>2010</c:v>
                </c:pt>
                <c:pt idx="1">
                  <c:v>2011</c:v>
                </c:pt>
                <c:pt idx="2">
                  <c:v>2012</c:v>
                </c:pt>
                <c:pt idx="3">
                  <c:v>2013</c:v>
                </c:pt>
                <c:pt idx="4">
                  <c:v>2014</c:v>
                </c:pt>
              </c:strCache>
            </c:strRef>
          </c:cat>
          <c:val>
            <c:numRef>
              <c:f>Kommunedata!$E$80:$I$80</c:f>
              <c:numCache>
                <c:formatCode>0.0</c:formatCode>
                <c:ptCount val="5"/>
                <c:pt idx="0">
                  <c:v>54.6</c:v>
                </c:pt>
                <c:pt idx="1">
                  <c:v>54.3</c:v>
                </c:pt>
                <c:pt idx="2">
                  <c:v>56</c:v>
                </c:pt>
                <c:pt idx="3">
                  <c:v>57.6</c:v>
                </c:pt>
                <c:pt idx="4">
                  <c:v>60.3</c:v>
                </c:pt>
              </c:numCache>
            </c:numRef>
          </c:val>
        </c:ser>
        <c:dLbls>
          <c:showLegendKey val="0"/>
          <c:showVal val="0"/>
          <c:showCatName val="0"/>
          <c:showSerName val="0"/>
          <c:showPercent val="0"/>
          <c:showBubbleSize val="0"/>
        </c:dLbls>
        <c:gapWidth val="150"/>
        <c:axId val="258785504"/>
        <c:axId val="258783152"/>
      </c:barChart>
      <c:catAx>
        <c:axId val="258785504"/>
        <c:scaling>
          <c:orientation val="minMax"/>
        </c:scaling>
        <c:delete val="0"/>
        <c:axPos val="b"/>
        <c:numFmt formatCode="General" sourceLinked="0"/>
        <c:majorTickMark val="out"/>
        <c:minorTickMark val="none"/>
        <c:tickLblPos val="nextTo"/>
        <c:crossAx val="258783152"/>
        <c:crosses val="autoZero"/>
        <c:auto val="1"/>
        <c:lblAlgn val="ctr"/>
        <c:lblOffset val="100"/>
        <c:noMultiLvlLbl val="0"/>
      </c:catAx>
      <c:valAx>
        <c:axId val="258783152"/>
        <c:scaling>
          <c:orientation val="minMax"/>
          <c:min val="35"/>
        </c:scaling>
        <c:delete val="0"/>
        <c:axPos val="l"/>
        <c:majorGridlines/>
        <c:numFmt formatCode="0.0" sourceLinked="1"/>
        <c:majorTickMark val="out"/>
        <c:minorTickMark val="none"/>
        <c:tickLblPos val="nextTo"/>
        <c:crossAx val="258785504"/>
        <c:crosses val="autoZero"/>
        <c:crossBetween val="between"/>
      </c:valAx>
      <c:spPr>
        <a:solidFill>
          <a:schemeClr val="accent1">
            <a:alpha val="20000"/>
          </a:schemeClr>
        </a:solidFill>
      </c:spPr>
    </c:plotArea>
    <c:legend>
      <c:legendPos val="b"/>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Befolkningsutvikling/prognose</a:t>
            </a:r>
          </a:p>
          <a:p>
            <a:pPr>
              <a:defRPr/>
            </a:pPr>
            <a:endParaRPr lang="en-US" baseline="0"/>
          </a:p>
          <a:p>
            <a:pPr>
              <a:defRPr/>
            </a:pPr>
            <a:endParaRPr lang="en-US"/>
          </a:p>
        </c:rich>
      </c:tx>
      <c:layout>
        <c:manualLayout>
          <c:xMode val="edge"/>
          <c:yMode val="edge"/>
          <c:x val="0.3067392033344114"/>
          <c:y val="3.3333324584429243E-3"/>
        </c:manualLayout>
      </c:layout>
      <c:overlay val="0"/>
    </c:title>
    <c:autoTitleDeleted val="0"/>
    <c:plotArea>
      <c:layout/>
      <c:barChart>
        <c:barDir val="col"/>
        <c:grouping val="stacked"/>
        <c:varyColors val="0"/>
        <c:ser>
          <c:idx val="0"/>
          <c:order val="0"/>
          <c:tx>
            <c:strRef>
              <c:f>Kommunedata!$B$56</c:f>
              <c:strCache>
                <c:ptCount val="1"/>
                <c:pt idx="0">
                  <c:v>0-5 år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Kommunedata!$C$55:$H$55</c:f>
              <c:strCache>
                <c:ptCount val="6"/>
                <c:pt idx="0">
                  <c:v>1990</c:v>
                </c:pt>
                <c:pt idx="1">
                  <c:v>2000</c:v>
                </c:pt>
                <c:pt idx="2">
                  <c:v>2015</c:v>
                </c:pt>
                <c:pt idx="3">
                  <c:v>2020</c:v>
                </c:pt>
                <c:pt idx="4">
                  <c:v>2030</c:v>
                </c:pt>
                <c:pt idx="5">
                  <c:v>2040</c:v>
                </c:pt>
              </c:strCache>
            </c:strRef>
          </c:cat>
          <c:val>
            <c:numRef>
              <c:f>Kommunedata!$C$56:$H$56</c:f>
              <c:numCache>
                <c:formatCode>General</c:formatCode>
                <c:ptCount val="6"/>
                <c:pt idx="0">
                  <c:v>123</c:v>
                </c:pt>
                <c:pt idx="1">
                  <c:v>145</c:v>
                </c:pt>
                <c:pt idx="2">
                  <c:v>117</c:v>
                </c:pt>
                <c:pt idx="3">
                  <c:v>118</c:v>
                </c:pt>
                <c:pt idx="4">
                  <c:v>117</c:v>
                </c:pt>
                <c:pt idx="5">
                  <c:v>119</c:v>
                </c:pt>
              </c:numCache>
            </c:numRef>
          </c:val>
        </c:ser>
        <c:ser>
          <c:idx val="1"/>
          <c:order val="1"/>
          <c:tx>
            <c:strRef>
              <c:f>Kommunedata!$B$57</c:f>
              <c:strCache>
                <c:ptCount val="1"/>
                <c:pt idx="0">
                  <c:v>6-15 år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Kommunedata!$C$55:$H$55</c:f>
              <c:strCache>
                <c:ptCount val="6"/>
                <c:pt idx="0">
                  <c:v>1990</c:v>
                </c:pt>
                <c:pt idx="1">
                  <c:v>2000</c:v>
                </c:pt>
                <c:pt idx="2">
                  <c:v>2015</c:v>
                </c:pt>
                <c:pt idx="3">
                  <c:v>2020</c:v>
                </c:pt>
                <c:pt idx="4">
                  <c:v>2030</c:v>
                </c:pt>
                <c:pt idx="5">
                  <c:v>2040</c:v>
                </c:pt>
              </c:strCache>
            </c:strRef>
          </c:cat>
          <c:val>
            <c:numRef>
              <c:f>Kommunedata!$C$57:$H$57</c:f>
              <c:numCache>
                <c:formatCode>General</c:formatCode>
                <c:ptCount val="6"/>
                <c:pt idx="0">
                  <c:v>284</c:v>
                </c:pt>
                <c:pt idx="1">
                  <c:v>217</c:v>
                </c:pt>
                <c:pt idx="2">
                  <c:v>230</c:v>
                </c:pt>
                <c:pt idx="3">
                  <c:v>229</c:v>
                </c:pt>
                <c:pt idx="4">
                  <c:v>232</c:v>
                </c:pt>
                <c:pt idx="5">
                  <c:v>234</c:v>
                </c:pt>
              </c:numCache>
            </c:numRef>
          </c:val>
        </c:ser>
        <c:ser>
          <c:idx val="2"/>
          <c:order val="2"/>
          <c:tx>
            <c:strRef>
              <c:f>Kommunedata!$B$58</c:f>
              <c:strCache>
                <c:ptCount val="1"/>
                <c:pt idx="0">
                  <c:v>16-66 år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Kommunedata!$C$55:$H$55</c:f>
              <c:strCache>
                <c:ptCount val="6"/>
                <c:pt idx="0">
                  <c:v>1990</c:v>
                </c:pt>
                <c:pt idx="1">
                  <c:v>2000</c:v>
                </c:pt>
                <c:pt idx="2">
                  <c:v>2015</c:v>
                </c:pt>
                <c:pt idx="3">
                  <c:v>2020</c:v>
                </c:pt>
                <c:pt idx="4">
                  <c:v>2030</c:v>
                </c:pt>
                <c:pt idx="5">
                  <c:v>2040</c:v>
                </c:pt>
              </c:strCache>
            </c:strRef>
          </c:cat>
          <c:val>
            <c:numRef>
              <c:f>Kommunedata!$C$58:$H$58</c:f>
              <c:numCache>
                <c:formatCode>General</c:formatCode>
                <c:ptCount val="6"/>
                <c:pt idx="0">
                  <c:v>1189</c:v>
                </c:pt>
                <c:pt idx="1">
                  <c:v>1270</c:v>
                </c:pt>
                <c:pt idx="2">
                  <c:v>1295</c:v>
                </c:pt>
                <c:pt idx="3">
                  <c:v>1290</c:v>
                </c:pt>
                <c:pt idx="4">
                  <c:v>1285</c:v>
                </c:pt>
                <c:pt idx="5">
                  <c:v>1324</c:v>
                </c:pt>
              </c:numCache>
            </c:numRef>
          </c:val>
        </c:ser>
        <c:ser>
          <c:idx val="3"/>
          <c:order val="3"/>
          <c:tx>
            <c:strRef>
              <c:f>Kommunedata!$B$59</c:f>
              <c:strCache>
                <c:ptCount val="1"/>
                <c:pt idx="0">
                  <c:v>67 år eller eldre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Kommunedata!$C$55:$H$55</c:f>
              <c:strCache>
                <c:ptCount val="6"/>
                <c:pt idx="0">
                  <c:v>1990</c:v>
                </c:pt>
                <c:pt idx="1">
                  <c:v>2000</c:v>
                </c:pt>
                <c:pt idx="2">
                  <c:v>2015</c:v>
                </c:pt>
                <c:pt idx="3">
                  <c:v>2020</c:v>
                </c:pt>
                <c:pt idx="4">
                  <c:v>2030</c:v>
                </c:pt>
                <c:pt idx="5">
                  <c:v>2040</c:v>
                </c:pt>
              </c:strCache>
            </c:strRef>
          </c:cat>
          <c:val>
            <c:numRef>
              <c:f>Kommunedata!$C$59:$H$59</c:f>
              <c:numCache>
                <c:formatCode>General</c:formatCode>
                <c:ptCount val="6"/>
                <c:pt idx="0">
                  <c:v>240</c:v>
                </c:pt>
                <c:pt idx="1">
                  <c:v>240</c:v>
                </c:pt>
                <c:pt idx="2">
                  <c:v>325</c:v>
                </c:pt>
                <c:pt idx="3">
                  <c:v>417</c:v>
                </c:pt>
                <c:pt idx="4">
                  <c:v>538</c:v>
                </c:pt>
                <c:pt idx="5">
                  <c:v>583</c:v>
                </c:pt>
              </c:numCache>
            </c:numRef>
          </c:val>
        </c:ser>
        <c:dLbls>
          <c:showLegendKey val="0"/>
          <c:showVal val="0"/>
          <c:showCatName val="0"/>
          <c:showSerName val="0"/>
          <c:showPercent val="0"/>
          <c:showBubbleSize val="0"/>
        </c:dLbls>
        <c:gapWidth val="150"/>
        <c:overlap val="100"/>
        <c:axId val="258782760"/>
        <c:axId val="258782368"/>
      </c:barChart>
      <c:catAx>
        <c:axId val="258782760"/>
        <c:scaling>
          <c:orientation val="minMax"/>
        </c:scaling>
        <c:delete val="0"/>
        <c:axPos val="b"/>
        <c:numFmt formatCode="General" sourceLinked="0"/>
        <c:majorTickMark val="out"/>
        <c:minorTickMark val="none"/>
        <c:tickLblPos val="nextTo"/>
        <c:crossAx val="258782368"/>
        <c:crosses val="autoZero"/>
        <c:auto val="1"/>
        <c:lblAlgn val="ctr"/>
        <c:lblOffset val="100"/>
        <c:noMultiLvlLbl val="0"/>
      </c:catAx>
      <c:valAx>
        <c:axId val="258782368"/>
        <c:scaling>
          <c:orientation val="minMax"/>
        </c:scaling>
        <c:delete val="0"/>
        <c:axPos val="l"/>
        <c:majorGridlines/>
        <c:numFmt formatCode="#,##0" sourceLinked="0"/>
        <c:majorTickMark val="out"/>
        <c:minorTickMark val="none"/>
        <c:tickLblPos val="nextTo"/>
        <c:crossAx val="258782760"/>
        <c:crosses val="autoZero"/>
        <c:crossBetween val="between"/>
      </c:valAx>
      <c:spPr>
        <a:solidFill>
          <a:schemeClr val="accent1">
            <a:alpha val="20000"/>
          </a:schemeClr>
        </a:solidFill>
      </c:spPr>
    </c:plotArea>
    <c:legend>
      <c:legendPos val="b"/>
      <c:layout/>
      <c:overlay val="0"/>
    </c:legend>
    <c:plotVisOnly val="1"/>
    <c:dispBlanksAs val="gap"/>
    <c:showDLblsOverMax val="0"/>
  </c:chart>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Disposisjonsfond i prosent av brutto driftsinntekter</a:t>
            </a:r>
          </a:p>
        </c:rich>
      </c:tx>
      <c:layout/>
      <c:overlay val="0"/>
    </c:title>
    <c:autoTitleDeleted val="0"/>
    <c:plotArea>
      <c:layout>
        <c:manualLayout>
          <c:layoutTarget val="inner"/>
          <c:xMode val="edge"/>
          <c:yMode val="edge"/>
          <c:x val="7.8723975292562115E-2"/>
          <c:y val="0.11544663376408093"/>
          <c:w val="0.90122589939415465"/>
          <c:h val="0.72463449245877753"/>
        </c:manualLayout>
      </c:layout>
      <c:lineChart>
        <c:grouping val="standard"/>
        <c:varyColors val="0"/>
        <c:ser>
          <c:idx val="0"/>
          <c:order val="0"/>
          <c:tx>
            <c:strRef>
              <c:f>Kommunedata!$B$86</c:f>
              <c:strCache>
                <c:ptCount val="1"/>
                <c:pt idx="0">
                  <c:v>Storfjord</c:v>
                </c:pt>
              </c:strCache>
            </c:strRef>
          </c:tx>
          <c:marker>
            <c:symbol val="none"/>
          </c:marker>
          <c:cat>
            <c:strRef>
              <c:f>Kommunedata!$E$85:$I$85</c:f>
              <c:strCache>
                <c:ptCount val="5"/>
                <c:pt idx="0">
                  <c:v>2010</c:v>
                </c:pt>
                <c:pt idx="1">
                  <c:v>2011</c:v>
                </c:pt>
                <c:pt idx="2">
                  <c:v>2012</c:v>
                </c:pt>
                <c:pt idx="3">
                  <c:v>2013</c:v>
                </c:pt>
                <c:pt idx="4">
                  <c:v>2014</c:v>
                </c:pt>
              </c:strCache>
            </c:strRef>
          </c:cat>
          <c:val>
            <c:numRef>
              <c:f>Kommunedata!$E$86:$I$86</c:f>
              <c:numCache>
                <c:formatCode>0.0</c:formatCode>
                <c:ptCount val="5"/>
                <c:pt idx="0">
                  <c:v>0.1</c:v>
                </c:pt>
                <c:pt idx="1">
                  <c:v>0.1</c:v>
                </c:pt>
                <c:pt idx="2">
                  <c:v>1.2</c:v>
                </c:pt>
                <c:pt idx="3">
                  <c:v>1.2</c:v>
                </c:pt>
                <c:pt idx="4">
                  <c:v>1.7</c:v>
                </c:pt>
              </c:numCache>
            </c:numRef>
          </c:val>
          <c:smooth val="0"/>
        </c:ser>
        <c:ser>
          <c:idx val="2"/>
          <c:order val="2"/>
          <c:tx>
            <c:strRef>
              <c:f>Kommunedata!$B$88</c:f>
              <c:strCache>
                <c:ptCount val="1"/>
                <c:pt idx="0">
                  <c:v>Troms</c:v>
                </c:pt>
              </c:strCache>
            </c:strRef>
          </c:tx>
          <c:marker>
            <c:symbol val="none"/>
          </c:marker>
          <c:cat>
            <c:strRef>
              <c:f>Kommunedata!$E$85:$I$85</c:f>
              <c:strCache>
                <c:ptCount val="5"/>
                <c:pt idx="0">
                  <c:v>2010</c:v>
                </c:pt>
                <c:pt idx="1">
                  <c:v>2011</c:v>
                </c:pt>
                <c:pt idx="2">
                  <c:v>2012</c:v>
                </c:pt>
                <c:pt idx="3">
                  <c:v>2013</c:v>
                </c:pt>
                <c:pt idx="4">
                  <c:v>2014</c:v>
                </c:pt>
              </c:strCache>
            </c:strRef>
          </c:cat>
          <c:val>
            <c:numRef>
              <c:f>Kommunedata!$E$88:$I$88</c:f>
              <c:numCache>
                <c:formatCode>0.0</c:formatCode>
                <c:ptCount val="5"/>
                <c:pt idx="0">
                  <c:v>1.2</c:v>
                </c:pt>
                <c:pt idx="1">
                  <c:v>1.3</c:v>
                </c:pt>
                <c:pt idx="2">
                  <c:v>1.6</c:v>
                </c:pt>
                <c:pt idx="3">
                  <c:v>2</c:v>
                </c:pt>
                <c:pt idx="4">
                  <c:v>1.4</c:v>
                </c:pt>
              </c:numCache>
            </c:numRef>
          </c:val>
          <c:smooth val="0"/>
        </c:ser>
        <c:ser>
          <c:idx val="3"/>
          <c:order val="3"/>
          <c:tx>
            <c:strRef>
              <c:f>Kommunedata!$B$89</c:f>
              <c:strCache>
                <c:ptCount val="1"/>
                <c:pt idx="0">
                  <c:v>Kostragruppe 06</c:v>
                </c:pt>
              </c:strCache>
            </c:strRef>
          </c:tx>
          <c:marker>
            <c:symbol val="none"/>
          </c:marker>
          <c:cat>
            <c:strRef>
              <c:f>Kommunedata!$E$85:$I$85</c:f>
              <c:strCache>
                <c:ptCount val="5"/>
                <c:pt idx="0">
                  <c:v>2010</c:v>
                </c:pt>
                <c:pt idx="1">
                  <c:v>2011</c:v>
                </c:pt>
                <c:pt idx="2">
                  <c:v>2012</c:v>
                </c:pt>
                <c:pt idx="3">
                  <c:v>2013</c:v>
                </c:pt>
                <c:pt idx="4">
                  <c:v>2014</c:v>
                </c:pt>
              </c:strCache>
            </c:strRef>
          </c:cat>
          <c:val>
            <c:numRef>
              <c:f>Kommunedata!$E$89:$I$89</c:f>
              <c:numCache>
                <c:formatCode>0.0</c:formatCode>
                <c:ptCount val="5"/>
                <c:pt idx="0">
                  <c:v>7</c:v>
                </c:pt>
                <c:pt idx="1">
                  <c:v>7.2</c:v>
                </c:pt>
                <c:pt idx="2">
                  <c:v>6.7</c:v>
                </c:pt>
                <c:pt idx="3">
                  <c:v>7.1</c:v>
                </c:pt>
                <c:pt idx="4">
                  <c:v>6.6</c:v>
                </c:pt>
              </c:numCache>
            </c:numRef>
          </c:val>
          <c:smooth val="0"/>
        </c:ser>
        <c:ser>
          <c:idx val="1"/>
          <c:order val="1"/>
          <c:tx>
            <c:strRef>
              <c:f>Kommunedata!$B$87</c:f>
              <c:strCache>
                <c:ptCount val="1"/>
                <c:pt idx="0">
                  <c:v>Landet uten Oslo</c:v>
                </c:pt>
              </c:strCache>
            </c:strRef>
          </c:tx>
          <c:marker>
            <c:symbol val="none"/>
          </c:marker>
          <c:cat>
            <c:strRef>
              <c:f>Kommunedata!$E$85:$I$85</c:f>
              <c:strCache>
                <c:ptCount val="5"/>
                <c:pt idx="0">
                  <c:v>2010</c:v>
                </c:pt>
                <c:pt idx="1">
                  <c:v>2011</c:v>
                </c:pt>
                <c:pt idx="2">
                  <c:v>2012</c:v>
                </c:pt>
                <c:pt idx="3">
                  <c:v>2013</c:v>
                </c:pt>
                <c:pt idx="4">
                  <c:v>2014</c:v>
                </c:pt>
              </c:strCache>
            </c:strRef>
          </c:cat>
          <c:val>
            <c:numRef>
              <c:f>Kommunedata!$E$87:$I$87</c:f>
              <c:numCache>
                <c:formatCode>0.0</c:formatCode>
                <c:ptCount val="5"/>
                <c:pt idx="0">
                  <c:v>5.5</c:v>
                </c:pt>
                <c:pt idx="1">
                  <c:v>5.6</c:v>
                </c:pt>
                <c:pt idx="2">
                  <c:v>6.1</c:v>
                </c:pt>
                <c:pt idx="3">
                  <c:v>6.2</c:v>
                </c:pt>
                <c:pt idx="4">
                  <c:v>6.4</c:v>
                </c:pt>
              </c:numCache>
            </c:numRef>
          </c:val>
          <c:smooth val="0"/>
        </c:ser>
        <c:dLbls>
          <c:showLegendKey val="0"/>
          <c:showVal val="0"/>
          <c:showCatName val="0"/>
          <c:showSerName val="0"/>
          <c:showPercent val="0"/>
          <c:showBubbleSize val="0"/>
        </c:dLbls>
        <c:smooth val="0"/>
        <c:axId val="259867392"/>
        <c:axId val="259868176"/>
      </c:lineChart>
      <c:catAx>
        <c:axId val="259867392"/>
        <c:scaling>
          <c:orientation val="minMax"/>
        </c:scaling>
        <c:delete val="0"/>
        <c:axPos val="b"/>
        <c:numFmt formatCode="General" sourceLinked="0"/>
        <c:majorTickMark val="out"/>
        <c:minorTickMark val="none"/>
        <c:tickLblPos val="nextTo"/>
        <c:crossAx val="259868176"/>
        <c:crosses val="autoZero"/>
        <c:auto val="1"/>
        <c:lblAlgn val="ctr"/>
        <c:lblOffset val="100"/>
        <c:noMultiLvlLbl val="0"/>
      </c:catAx>
      <c:valAx>
        <c:axId val="259868176"/>
        <c:scaling>
          <c:orientation val="minMax"/>
        </c:scaling>
        <c:delete val="0"/>
        <c:axPos val="l"/>
        <c:majorGridlines/>
        <c:numFmt formatCode="0.0" sourceLinked="1"/>
        <c:majorTickMark val="out"/>
        <c:minorTickMark val="none"/>
        <c:tickLblPos val="nextTo"/>
        <c:crossAx val="259867392"/>
        <c:crosses val="autoZero"/>
        <c:crossBetween val="between"/>
        <c:majorUnit val="1"/>
      </c:valAx>
      <c:spPr>
        <a:solidFill>
          <a:schemeClr val="accent1">
            <a:alpha val="20000"/>
          </a:schemeClr>
        </a:solidFill>
      </c:spPr>
    </c:plotArea>
    <c:legend>
      <c:legendPos val="b"/>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285750</xdr:colOff>
      <xdr:row>65</xdr:row>
      <xdr:rowOff>142875</xdr:rowOff>
    </xdr:from>
    <xdr:to>
      <xdr:col>5</xdr:col>
      <xdr:colOff>2095499</xdr:colOff>
      <xdr:row>85</xdr:row>
      <xdr:rowOff>152400</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323850</xdr:colOff>
      <xdr:row>92</xdr:row>
      <xdr:rowOff>47626</xdr:rowOff>
    </xdr:from>
    <xdr:to>
      <xdr:col>2</xdr:col>
      <xdr:colOff>485775</xdr:colOff>
      <xdr:row>113</xdr:row>
      <xdr:rowOff>38100</xdr:rowOff>
    </xdr:to>
    <xdr:graphicFrame macro="">
      <xdr:nvGraphicFramePr>
        <xdr:cNvPr id="21" name="Diagram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771525</xdr:colOff>
      <xdr:row>90</xdr:row>
      <xdr:rowOff>9525</xdr:rowOff>
    </xdr:from>
    <xdr:to>
      <xdr:col>5</xdr:col>
      <xdr:colOff>2095501</xdr:colOff>
      <xdr:row>104</xdr:row>
      <xdr:rowOff>38100</xdr:rowOff>
    </xdr:to>
    <xdr:graphicFrame macro="">
      <xdr:nvGraphicFramePr>
        <xdr:cNvPr id="22" name="Diagram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47626</xdr:colOff>
      <xdr:row>65</xdr:row>
      <xdr:rowOff>152399</xdr:rowOff>
    </xdr:from>
    <xdr:to>
      <xdr:col>3</xdr:col>
      <xdr:colOff>38100</xdr:colOff>
      <xdr:row>85</xdr:row>
      <xdr:rowOff>152400</xdr:rowOff>
    </xdr:to>
    <xdr:graphicFrame macro="">
      <xdr:nvGraphicFramePr>
        <xdr:cNvPr id="24" name="Diagram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342900</xdr:colOff>
      <xdr:row>114</xdr:row>
      <xdr:rowOff>95250</xdr:rowOff>
    </xdr:from>
    <xdr:to>
      <xdr:col>2</xdr:col>
      <xdr:colOff>495300</xdr:colOff>
      <xdr:row>133</xdr:row>
      <xdr:rowOff>76200</xdr:rowOff>
    </xdr:to>
    <xdr:graphicFrame macro="">
      <xdr:nvGraphicFramePr>
        <xdr:cNvPr id="15" name="Diagra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2</xdr:col>
      <xdr:colOff>1057276</xdr:colOff>
      <xdr:row>104</xdr:row>
      <xdr:rowOff>171450</xdr:rowOff>
    </xdr:from>
    <xdr:to>
      <xdr:col>5</xdr:col>
      <xdr:colOff>1657351</xdr:colOff>
      <xdr:row>127</xdr:row>
      <xdr:rowOff>102379</xdr:rowOff>
    </xdr:to>
    <xdr:pic>
      <xdr:nvPicPr>
        <xdr:cNvPr id="2" name="Bilde 1"/>
        <xdr:cNvPicPr>
          <a:picLocks noChangeAspect="1"/>
        </xdr:cNvPicPr>
      </xdr:nvPicPr>
      <xdr:blipFill>
        <a:blip xmlns:r="http://schemas.openxmlformats.org/officeDocument/2006/relationships" r:embed="rId6"/>
        <a:stretch>
          <a:fillRect/>
        </a:stretch>
      </xdr:blipFill>
      <xdr:spPr>
        <a:xfrm>
          <a:off x="5600701" y="22555200"/>
          <a:ext cx="6838950" cy="4312429"/>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pageSetUpPr fitToPage="1"/>
  </sheetPr>
  <dimension ref="A1:F58"/>
  <sheetViews>
    <sheetView workbookViewId="0">
      <selection activeCell="F6" sqref="F6"/>
    </sheetView>
  </sheetViews>
  <sheetFormatPr baseColWidth="10" defaultRowHeight="14.4" x14ac:dyDescent="0.3"/>
  <cols>
    <col min="1" max="1" width="8.44140625" customWidth="1"/>
    <col min="2" max="2" width="12" style="76" customWidth="1"/>
    <col min="3" max="3" width="26.109375" customWidth="1"/>
    <col min="4" max="4" width="12.88671875" customWidth="1"/>
    <col min="5" max="5" width="14.109375" customWidth="1"/>
    <col min="6" max="6" width="49.5546875" customWidth="1"/>
  </cols>
  <sheetData>
    <row r="1" spans="2:6" x14ac:dyDescent="0.3">
      <c r="C1" s="233"/>
    </row>
    <row r="2" spans="2:6" ht="25.8" x14ac:dyDescent="0.5">
      <c r="C2" s="236" t="s">
        <v>96</v>
      </c>
      <c r="D2" s="238">
        <v>1939</v>
      </c>
    </row>
    <row r="3" spans="2:6" ht="25.8" x14ac:dyDescent="0.5">
      <c r="C3" s="237" t="s">
        <v>97</v>
      </c>
      <c r="D3" s="237" t="str">
        <f>FAKTAARK!C2</f>
        <v>Storfjord</v>
      </c>
      <c r="E3" s="233"/>
    </row>
    <row r="6" spans="2:6" ht="31.5" customHeight="1" x14ac:dyDescent="0.3">
      <c r="B6" s="251" t="s">
        <v>96</v>
      </c>
      <c r="C6" s="251" t="s">
        <v>97</v>
      </c>
      <c r="D6" s="252" t="s">
        <v>524</v>
      </c>
      <c r="E6" s="252" t="s">
        <v>481</v>
      </c>
      <c r="F6" s="239"/>
    </row>
    <row r="7" spans="2:6" x14ac:dyDescent="0.3">
      <c r="B7" s="63">
        <v>1902</v>
      </c>
      <c r="C7" s="63" t="s">
        <v>10</v>
      </c>
      <c r="D7" s="240">
        <v>13</v>
      </c>
      <c r="E7" s="241">
        <v>13</v>
      </c>
      <c r="F7" s="239"/>
    </row>
    <row r="8" spans="2:6" s="72" customFormat="1" x14ac:dyDescent="0.3">
      <c r="B8" s="63">
        <v>1903</v>
      </c>
      <c r="C8" s="63" t="s">
        <v>514</v>
      </c>
      <c r="D8" s="240">
        <v>13</v>
      </c>
      <c r="E8" s="241">
        <v>13</v>
      </c>
      <c r="F8" s="239"/>
    </row>
    <row r="9" spans="2:6" x14ac:dyDescent="0.3">
      <c r="B9" s="63">
        <v>1911</v>
      </c>
      <c r="C9" s="63" t="s">
        <v>14</v>
      </c>
      <c r="D9" s="240">
        <v>6</v>
      </c>
      <c r="E9" s="241">
        <v>6</v>
      </c>
      <c r="F9" s="239"/>
    </row>
    <row r="10" spans="2:6" x14ac:dyDescent="0.3">
      <c r="B10" s="64">
        <v>1913</v>
      </c>
      <c r="C10" s="63" t="s">
        <v>18</v>
      </c>
      <c r="D10" s="240">
        <v>2</v>
      </c>
      <c r="E10" s="241">
        <v>2</v>
      </c>
      <c r="F10" s="239"/>
    </row>
    <row r="11" spans="2:6" x14ac:dyDescent="0.3">
      <c r="B11" s="64">
        <v>1917</v>
      </c>
      <c r="C11" s="63" t="s">
        <v>21</v>
      </c>
      <c r="D11" s="240">
        <v>6</v>
      </c>
      <c r="E11" s="241">
        <v>6</v>
      </c>
      <c r="F11" s="239"/>
    </row>
    <row r="12" spans="2:6" x14ac:dyDescent="0.3">
      <c r="B12" s="64">
        <v>1919</v>
      </c>
      <c r="C12" s="63" t="s">
        <v>24</v>
      </c>
      <c r="D12" s="240">
        <v>5</v>
      </c>
      <c r="E12" s="241">
        <v>6</v>
      </c>
      <c r="F12" s="239" t="s">
        <v>516</v>
      </c>
    </row>
    <row r="13" spans="2:6" x14ac:dyDescent="0.3">
      <c r="B13" s="64">
        <v>1920</v>
      </c>
      <c r="C13" s="63" t="s">
        <v>27</v>
      </c>
      <c r="D13" s="240">
        <v>6</v>
      </c>
      <c r="E13" s="241">
        <v>6</v>
      </c>
      <c r="F13" s="239"/>
    </row>
    <row r="14" spans="2:6" x14ac:dyDescent="0.3">
      <c r="B14" s="64">
        <v>1922</v>
      </c>
      <c r="C14" s="63" t="s">
        <v>30</v>
      </c>
      <c r="D14" s="240">
        <v>3</v>
      </c>
      <c r="E14" s="241">
        <v>3</v>
      </c>
      <c r="F14" s="239"/>
    </row>
    <row r="15" spans="2:6" x14ac:dyDescent="0.3">
      <c r="B15" s="64">
        <v>1923</v>
      </c>
      <c r="C15" s="63" t="s">
        <v>34</v>
      </c>
      <c r="D15" s="240">
        <v>16</v>
      </c>
      <c r="E15" s="241">
        <v>3</v>
      </c>
      <c r="F15" s="239" t="s">
        <v>516</v>
      </c>
    </row>
    <row r="16" spans="2:6" x14ac:dyDescent="0.3">
      <c r="B16" s="64">
        <v>1924</v>
      </c>
      <c r="C16" s="63" t="s">
        <v>36</v>
      </c>
      <c r="D16" s="240">
        <v>11</v>
      </c>
      <c r="E16" s="241">
        <v>11</v>
      </c>
      <c r="F16" s="239"/>
    </row>
    <row r="17" spans="1:6" x14ac:dyDescent="0.3">
      <c r="B17" s="64">
        <v>1925</v>
      </c>
      <c r="C17" s="63" t="s">
        <v>39</v>
      </c>
      <c r="D17" s="240">
        <v>2</v>
      </c>
      <c r="E17" s="241">
        <v>2</v>
      </c>
      <c r="F17" s="239"/>
    </row>
    <row r="18" spans="1:6" x14ac:dyDescent="0.3">
      <c r="B18" s="64">
        <v>1926</v>
      </c>
      <c r="C18" s="63" t="s">
        <v>42</v>
      </c>
      <c r="D18" s="240">
        <v>5</v>
      </c>
      <c r="E18" s="241">
        <v>6</v>
      </c>
      <c r="F18" s="239" t="s">
        <v>516</v>
      </c>
    </row>
    <row r="19" spans="1:6" x14ac:dyDescent="0.3">
      <c r="B19" s="64">
        <v>1927</v>
      </c>
      <c r="C19" s="63" t="s">
        <v>45</v>
      </c>
      <c r="D19" s="240">
        <v>5</v>
      </c>
      <c r="E19" s="241">
        <v>5</v>
      </c>
      <c r="F19" s="239"/>
    </row>
    <row r="20" spans="1:6" x14ac:dyDescent="0.3">
      <c r="B20" s="64">
        <v>1928</v>
      </c>
      <c r="C20" s="63" t="s">
        <v>49</v>
      </c>
      <c r="D20" s="240">
        <v>4</v>
      </c>
      <c r="E20" s="241">
        <v>6</v>
      </c>
      <c r="F20" s="239" t="s">
        <v>516</v>
      </c>
    </row>
    <row r="21" spans="1:6" x14ac:dyDescent="0.3">
      <c r="B21" s="63">
        <v>1929</v>
      </c>
      <c r="C21" s="63" t="s">
        <v>53</v>
      </c>
      <c r="D21" s="240">
        <v>5</v>
      </c>
      <c r="E21" s="241">
        <v>6</v>
      </c>
      <c r="F21" s="239" t="s">
        <v>516</v>
      </c>
    </row>
    <row r="22" spans="1:6" x14ac:dyDescent="0.3">
      <c r="B22" s="64">
        <v>1931</v>
      </c>
      <c r="C22" s="63" t="s">
        <v>56</v>
      </c>
      <c r="D22" s="240">
        <v>12</v>
      </c>
      <c r="E22" s="241">
        <v>12</v>
      </c>
      <c r="F22" s="239"/>
    </row>
    <row r="23" spans="1:6" x14ac:dyDescent="0.3">
      <c r="B23" s="64">
        <v>1933</v>
      </c>
      <c r="C23" s="63" t="s">
        <v>60</v>
      </c>
      <c r="D23" s="240">
        <v>11</v>
      </c>
      <c r="E23" s="241">
        <v>11</v>
      </c>
      <c r="F23" s="239"/>
    </row>
    <row r="24" spans="1:6" x14ac:dyDescent="0.3">
      <c r="B24" s="64">
        <v>1936</v>
      </c>
      <c r="C24" s="63" t="s">
        <v>62</v>
      </c>
      <c r="D24" s="240">
        <v>6</v>
      </c>
      <c r="E24" s="241">
        <v>6</v>
      </c>
      <c r="F24" s="239"/>
    </row>
    <row r="25" spans="1:6" x14ac:dyDescent="0.3">
      <c r="B25" s="64">
        <v>1938</v>
      </c>
      <c r="C25" s="63" t="s">
        <v>66</v>
      </c>
      <c r="D25" s="240">
        <v>6</v>
      </c>
      <c r="E25" s="241">
        <v>5</v>
      </c>
      <c r="F25" s="239" t="s">
        <v>516</v>
      </c>
    </row>
    <row r="26" spans="1:6" x14ac:dyDescent="0.3">
      <c r="B26" s="64">
        <v>1939</v>
      </c>
      <c r="C26" s="63" t="s">
        <v>70</v>
      </c>
      <c r="D26" s="240">
        <v>6</v>
      </c>
      <c r="E26" s="241">
        <v>6</v>
      </c>
      <c r="F26" s="239"/>
    </row>
    <row r="27" spans="1:6" x14ac:dyDescent="0.3">
      <c r="B27" s="64">
        <v>1940</v>
      </c>
      <c r="C27" s="63" t="s">
        <v>100</v>
      </c>
      <c r="D27" s="240">
        <v>6</v>
      </c>
      <c r="E27" s="241">
        <v>3</v>
      </c>
      <c r="F27" s="239" t="s">
        <v>516</v>
      </c>
    </row>
    <row r="28" spans="1:6" x14ac:dyDescent="0.3">
      <c r="B28" s="64">
        <v>1941</v>
      </c>
      <c r="C28" s="63" t="s">
        <v>77</v>
      </c>
      <c r="D28" s="240">
        <v>3</v>
      </c>
      <c r="E28" s="241">
        <v>3</v>
      </c>
      <c r="F28" s="239"/>
    </row>
    <row r="29" spans="1:6" x14ac:dyDescent="0.3">
      <c r="B29" s="64">
        <v>1942</v>
      </c>
      <c r="C29" s="63" t="s">
        <v>81</v>
      </c>
      <c r="D29" s="240">
        <v>3</v>
      </c>
      <c r="E29" s="241">
        <v>3</v>
      </c>
      <c r="F29" s="239"/>
    </row>
    <row r="30" spans="1:6" x14ac:dyDescent="0.3">
      <c r="B30" s="64">
        <v>1943</v>
      </c>
      <c r="C30" s="63" t="s">
        <v>84</v>
      </c>
      <c r="D30" s="240">
        <v>6</v>
      </c>
      <c r="E30" s="241">
        <v>6</v>
      </c>
      <c r="F30" s="239"/>
    </row>
    <row r="31" spans="1:6" x14ac:dyDescent="0.3">
      <c r="A31" s="234" t="s">
        <v>513</v>
      </c>
      <c r="B31" s="235"/>
    </row>
    <row r="32" spans="1:6" x14ac:dyDescent="0.3">
      <c r="A32" s="235" t="s">
        <v>525</v>
      </c>
    </row>
    <row r="33" spans="1:6" ht="27" x14ac:dyDescent="0.3">
      <c r="A33" s="252" t="s">
        <v>517</v>
      </c>
      <c r="B33" s="252" t="s">
        <v>518</v>
      </c>
      <c r="C33" s="253" t="s">
        <v>519</v>
      </c>
      <c r="D33" s="254"/>
      <c r="E33" s="254"/>
      <c r="F33" s="255"/>
    </row>
    <row r="34" spans="1:6" x14ac:dyDescent="0.3">
      <c r="A34" s="244" t="s">
        <v>505</v>
      </c>
      <c r="B34" s="244">
        <v>21</v>
      </c>
      <c r="C34" s="245" t="s">
        <v>506</v>
      </c>
      <c r="D34" s="242"/>
      <c r="E34" s="242"/>
      <c r="F34" s="243"/>
    </row>
    <row r="35" spans="1:6" x14ac:dyDescent="0.3">
      <c r="A35" s="244" t="s">
        <v>507</v>
      </c>
      <c r="B35" s="244">
        <v>60</v>
      </c>
      <c r="C35" s="246" t="s">
        <v>508</v>
      </c>
      <c r="D35" s="239"/>
      <c r="E35" s="239"/>
      <c r="F35" s="247"/>
    </row>
    <row r="36" spans="1:6" x14ac:dyDescent="0.3">
      <c r="A36" s="244" t="s">
        <v>509</v>
      </c>
      <c r="B36" s="244">
        <v>35</v>
      </c>
      <c r="C36" s="245" t="s">
        <v>510</v>
      </c>
      <c r="D36" s="242"/>
      <c r="E36" s="242"/>
      <c r="F36" s="243"/>
    </row>
    <row r="37" spans="1:6" x14ac:dyDescent="0.3">
      <c r="A37" s="244" t="s">
        <v>511</v>
      </c>
      <c r="B37" s="244">
        <v>15</v>
      </c>
      <c r="C37" s="246" t="s">
        <v>512</v>
      </c>
      <c r="D37" s="239"/>
      <c r="E37" s="239"/>
      <c r="F37" s="247"/>
    </row>
    <row r="38" spans="1:6" x14ac:dyDescent="0.3">
      <c r="A38" s="244" t="s">
        <v>482</v>
      </c>
      <c r="B38" s="244">
        <v>40</v>
      </c>
      <c r="C38" s="245" t="s">
        <v>483</v>
      </c>
      <c r="D38" s="242"/>
      <c r="E38" s="242"/>
      <c r="F38" s="243"/>
    </row>
    <row r="39" spans="1:6" x14ac:dyDescent="0.3">
      <c r="A39" s="244" t="s">
        <v>484</v>
      </c>
      <c r="B39" s="244">
        <v>47</v>
      </c>
      <c r="C39" s="246" t="s">
        <v>485</v>
      </c>
      <c r="D39" s="239"/>
      <c r="E39" s="239"/>
      <c r="F39" s="247"/>
    </row>
    <row r="40" spans="1:6" x14ac:dyDescent="0.3">
      <c r="A40" s="244" t="s">
        <v>486</v>
      </c>
      <c r="B40" s="244">
        <v>31</v>
      </c>
      <c r="C40" s="245" t="s">
        <v>487</v>
      </c>
      <c r="D40" s="242"/>
      <c r="E40" s="242"/>
      <c r="F40" s="243"/>
    </row>
    <row r="41" spans="1:6" x14ac:dyDescent="0.3">
      <c r="A41" s="244" t="s">
        <v>488</v>
      </c>
      <c r="B41" s="244">
        <v>23</v>
      </c>
      <c r="C41" s="246" t="s">
        <v>489</v>
      </c>
      <c r="D41" s="239"/>
      <c r="E41" s="239"/>
      <c r="F41" s="247"/>
    </row>
    <row r="42" spans="1:6" x14ac:dyDescent="0.3">
      <c r="A42" s="244" t="s">
        <v>490</v>
      </c>
      <c r="B42" s="244">
        <v>0</v>
      </c>
      <c r="C42" s="245" t="s">
        <v>491</v>
      </c>
      <c r="D42" s="242"/>
      <c r="E42" s="242"/>
      <c r="F42" s="243"/>
    </row>
    <row r="43" spans="1:6" x14ac:dyDescent="0.3">
      <c r="A43" s="244" t="s">
        <v>492</v>
      </c>
      <c r="B43" s="244">
        <v>21</v>
      </c>
      <c r="C43" s="246" t="s">
        <v>493</v>
      </c>
      <c r="D43" s="239"/>
      <c r="E43" s="239"/>
      <c r="F43" s="247"/>
    </row>
    <row r="44" spans="1:6" x14ac:dyDescent="0.3">
      <c r="A44" s="244" t="s">
        <v>494</v>
      </c>
      <c r="B44" s="244">
        <v>53</v>
      </c>
      <c r="C44" s="245" t="s">
        <v>495</v>
      </c>
      <c r="D44" s="242"/>
      <c r="E44" s="242"/>
      <c r="F44" s="243"/>
    </row>
    <row r="45" spans="1:6" x14ac:dyDescent="0.3">
      <c r="A45" s="244" t="s">
        <v>496</v>
      </c>
      <c r="B45" s="244">
        <v>19</v>
      </c>
      <c r="C45" s="246" t="s">
        <v>497</v>
      </c>
      <c r="D45" s="239"/>
      <c r="E45" s="239"/>
      <c r="F45" s="247"/>
    </row>
    <row r="46" spans="1:6" x14ac:dyDescent="0.3">
      <c r="A46" s="244" t="s">
        <v>498</v>
      </c>
      <c r="B46" s="244">
        <v>49</v>
      </c>
      <c r="C46" s="245" t="s">
        <v>499</v>
      </c>
      <c r="D46" s="242"/>
      <c r="E46" s="242"/>
      <c r="F46" s="243"/>
    </row>
    <row r="47" spans="1:6" x14ac:dyDescent="0.3">
      <c r="A47" s="244" t="s">
        <v>500</v>
      </c>
      <c r="B47" s="244">
        <v>3</v>
      </c>
      <c r="C47" s="246" t="s">
        <v>501</v>
      </c>
      <c r="D47" s="239"/>
      <c r="E47" s="239"/>
      <c r="F47" s="247"/>
    </row>
    <row r="48" spans="1:6" x14ac:dyDescent="0.3">
      <c r="A48" s="244" t="s">
        <v>502</v>
      </c>
      <c r="B48" s="244">
        <v>1</v>
      </c>
      <c r="C48" s="245" t="s">
        <v>503</v>
      </c>
      <c r="D48" s="242"/>
      <c r="E48" s="242"/>
      <c r="F48" s="243"/>
    </row>
    <row r="49" spans="1:6" x14ac:dyDescent="0.3">
      <c r="A49" s="244" t="s">
        <v>504</v>
      </c>
      <c r="B49" s="244">
        <v>10</v>
      </c>
      <c r="C49" s="246" t="s">
        <v>515</v>
      </c>
      <c r="D49" s="239"/>
      <c r="E49" s="239"/>
      <c r="F49" s="247"/>
    </row>
    <row r="50" spans="1:6" x14ac:dyDescent="0.3">
      <c r="A50" s="244" t="s">
        <v>339</v>
      </c>
      <c r="B50" s="244">
        <f>SUM(B34:B49)</f>
        <v>428</v>
      </c>
      <c r="C50" s="245"/>
      <c r="D50" s="242"/>
      <c r="E50" s="242"/>
      <c r="F50" s="243"/>
    </row>
    <row r="51" spans="1:6" x14ac:dyDescent="0.3">
      <c r="A51" s="248"/>
      <c r="B51" s="248"/>
      <c r="C51" s="248"/>
      <c r="D51" s="248"/>
      <c r="E51" s="248"/>
      <c r="F51" s="248"/>
    </row>
    <row r="52" spans="1:6" x14ac:dyDescent="0.3">
      <c r="A52" s="249" t="s">
        <v>520</v>
      </c>
      <c r="B52" s="248"/>
      <c r="C52" s="248"/>
      <c r="D52" s="248"/>
      <c r="E52" s="248"/>
      <c r="F52" s="248"/>
    </row>
    <row r="53" spans="1:6" ht="31.5" customHeight="1" x14ac:dyDescent="0.3">
      <c r="A53" s="256" t="s">
        <v>521</v>
      </c>
      <c r="B53" s="256"/>
      <c r="C53" s="256"/>
      <c r="D53" s="256"/>
      <c r="E53" s="256"/>
      <c r="F53" s="256"/>
    </row>
    <row r="54" spans="1:6" ht="9" customHeight="1" x14ac:dyDescent="0.3">
      <c r="A54" s="248"/>
      <c r="B54" s="248"/>
      <c r="C54" s="248"/>
      <c r="D54" s="248"/>
      <c r="E54" s="248"/>
      <c r="F54" s="248"/>
    </row>
    <row r="55" spans="1:6" ht="66.75" customHeight="1" x14ac:dyDescent="0.3">
      <c r="A55" s="256" t="s">
        <v>522</v>
      </c>
      <c r="B55" s="256"/>
      <c r="C55" s="256"/>
      <c r="D55" s="256"/>
      <c r="E55" s="256"/>
      <c r="F55" s="256"/>
    </row>
    <row r="56" spans="1:6" s="76" customFormat="1" ht="9.75" customHeight="1" x14ac:dyDescent="0.3">
      <c r="A56" s="250"/>
      <c r="B56" s="250"/>
      <c r="C56" s="250"/>
      <c r="D56" s="250"/>
      <c r="E56" s="250"/>
      <c r="F56" s="250"/>
    </row>
    <row r="57" spans="1:6" ht="77.25" customHeight="1" x14ac:dyDescent="0.3">
      <c r="A57" s="256" t="s">
        <v>523</v>
      </c>
      <c r="B57" s="256"/>
      <c r="C57" s="256"/>
      <c r="D57" s="256"/>
      <c r="E57" s="256"/>
      <c r="F57" s="256"/>
    </row>
    <row r="58" spans="1:6" x14ac:dyDescent="0.3">
      <c r="A58" s="76" t="s">
        <v>264</v>
      </c>
    </row>
  </sheetData>
  <mergeCells count="3">
    <mergeCell ref="A53:F53"/>
    <mergeCell ref="A55:F55"/>
    <mergeCell ref="A57:F57"/>
  </mergeCells>
  <pageMargins left="0.7" right="0.7" top="0.75" bottom="0.75" header="0.3" footer="0.3"/>
  <pageSetup paperSize="9" scale="73"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0">
    <pageSetUpPr fitToPage="1"/>
  </sheetPr>
  <dimension ref="A1:H39"/>
  <sheetViews>
    <sheetView topLeftCell="A5" workbookViewId="0">
      <selection activeCell="F30" sqref="F30"/>
    </sheetView>
  </sheetViews>
  <sheetFormatPr baseColWidth="10" defaultRowHeight="14.4" x14ac:dyDescent="0.3"/>
  <cols>
    <col min="1" max="1" width="22.88671875" bestFit="1" customWidth="1"/>
    <col min="2" max="2" width="25.44140625" customWidth="1"/>
    <col min="5" max="5" width="37.88671875" customWidth="1"/>
    <col min="6" max="6" width="26.109375" customWidth="1"/>
    <col min="7" max="7" width="21.88671875" customWidth="1"/>
  </cols>
  <sheetData>
    <row r="1" spans="1:8" x14ac:dyDescent="0.3">
      <c r="C1" s="81" t="s">
        <v>264</v>
      </c>
      <c r="D1" s="81" t="s">
        <v>264</v>
      </c>
      <c r="E1" s="81" t="s">
        <v>264</v>
      </c>
      <c r="F1" s="81" t="s">
        <v>264</v>
      </c>
      <c r="G1" s="81" t="s">
        <v>264</v>
      </c>
      <c r="H1" s="81" t="s">
        <v>264</v>
      </c>
    </row>
    <row r="3" spans="1:8" x14ac:dyDescent="0.3">
      <c r="C3" s="7">
        <v>2014</v>
      </c>
    </row>
    <row r="4" spans="1:8" s="14" customFormat="1" ht="100.8" x14ac:dyDescent="0.3">
      <c r="A4" s="148"/>
      <c r="B4" s="148"/>
      <c r="C4" s="149" t="s">
        <v>348</v>
      </c>
      <c r="D4" s="149" t="s">
        <v>344</v>
      </c>
      <c r="E4" s="149" t="s">
        <v>345</v>
      </c>
      <c r="F4" s="149" t="s">
        <v>347</v>
      </c>
      <c r="G4" s="149" t="s">
        <v>245</v>
      </c>
      <c r="H4" s="149" t="s">
        <v>346</v>
      </c>
    </row>
    <row r="5" spans="1:8" x14ac:dyDescent="0.3">
      <c r="A5" s="150" t="s">
        <v>173</v>
      </c>
      <c r="B5" s="113" t="s">
        <v>174</v>
      </c>
      <c r="C5" s="114">
        <v>8.1</v>
      </c>
      <c r="D5" s="114">
        <v>17.399999999999999</v>
      </c>
      <c r="E5" s="114">
        <v>111825</v>
      </c>
      <c r="F5" s="114">
        <v>13.6</v>
      </c>
      <c r="G5" s="114">
        <v>40.299999999999997</v>
      </c>
      <c r="H5" s="114">
        <v>32.700000000000003</v>
      </c>
    </row>
    <row r="6" spans="1:8" x14ac:dyDescent="0.3">
      <c r="A6" s="150">
        <v>1902</v>
      </c>
      <c r="B6" s="113" t="s">
        <v>10</v>
      </c>
      <c r="C6" s="114">
        <v>8.6</v>
      </c>
      <c r="D6" s="114">
        <v>21.1</v>
      </c>
      <c r="E6" s="114">
        <v>113890</v>
      </c>
      <c r="F6" s="114">
        <v>14.1</v>
      </c>
      <c r="G6" s="114">
        <v>41.2</v>
      </c>
      <c r="H6" s="114">
        <v>32.299999999999997</v>
      </c>
    </row>
    <row r="7" spans="1:8" s="72" customFormat="1" x14ac:dyDescent="0.3">
      <c r="A7" s="150">
        <v>1903</v>
      </c>
      <c r="B7" s="115" t="s">
        <v>6</v>
      </c>
      <c r="C7" s="114">
        <v>6.2</v>
      </c>
      <c r="D7" s="114">
        <v>21.8</v>
      </c>
      <c r="E7" s="114">
        <v>111912</v>
      </c>
      <c r="F7" s="114">
        <v>12.9</v>
      </c>
      <c r="G7" s="114">
        <v>39</v>
      </c>
      <c r="H7" s="114">
        <v>28.1</v>
      </c>
    </row>
    <row r="8" spans="1:8" x14ac:dyDescent="0.3">
      <c r="A8" s="150">
        <v>1911</v>
      </c>
      <c r="B8" s="113" t="s">
        <v>14</v>
      </c>
      <c r="C8" s="114">
        <v>7.6</v>
      </c>
      <c r="D8" s="114">
        <v>27</v>
      </c>
      <c r="E8" s="114">
        <v>148803</v>
      </c>
      <c r="F8" s="114">
        <v>8.8000000000000007</v>
      </c>
      <c r="G8" s="114">
        <v>39.299999999999997</v>
      </c>
      <c r="H8" s="114">
        <v>46.9</v>
      </c>
    </row>
    <row r="9" spans="1:8" x14ac:dyDescent="0.3">
      <c r="A9" s="150">
        <v>1913</v>
      </c>
      <c r="B9" s="113" t="s">
        <v>18</v>
      </c>
      <c r="C9" s="114">
        <v>5.4</v>
      </c>
      <c r="D9" s="114">
        <v>16.600000000000001</v>
      </c>
      <c r="E9" s="114">
        <v>132596</v>
      </c>
      <c r="F9" s="114">
        <v>10.8</v>
      </c>
      <c r="G9" s="114">
        <v>37.5</v>
      </c>
      <c r="H9" s="114">
        <v>47.7</v>
      </c>
    </row>
    <row r="10" spans="1:8" x14ac:dyDescent="0.3">
      <c r="A10" s="150">
        <v>1917</v>
      </c>
      <c r="B10" s="113" t="s">
        <v>21</v>
      </c>
      <c r="C10" s="114">
        <v>17.100000000000001</v>
      </c>
      <c r="D10" s="114">
        <v>31.7</v>
      </c>
      <c r="E10" s="114">
        <v>160216</v>
      </c>
      <c r="F10" s="114">
        <v>7.6</v>
      </c>
      <c r="G10" s="114">
        <v>39.4</v>
      </c>
      <c r="H10" s="114">
        <v>57.9</v>
      </c>
    </row>
    <row r="11" spans="1:8" x14ac:dyDescent="0.3">
      <c r="A11" s="150">
        <v>1919</v>
      </c>
      <c r="B11" s="113" t="s">
        <v>24</v>
      </c>
      <c r="C11" s="114">
        <v>13</v>
      </c>
      <c r="D11" s="114">
        <v>36.9</v>
      </c>
      <c r="E11" s="114">
        <v>158515</v>
      </c>
      <c r="F11" s="114">
        <v>9.1999999999999993</v>
      </c>
      <c r="G11" s="114">
        <v>36.1</v>
      </c>
      <c r="H11" s="114">
        <v>50</v>
      </c>
    </row>
    <row r="12" spans="1:8" x14ac:dyDescent="0.3">
      <c r="A12" s="150">
        <v>1920</v>
      </c>
      <c r="B12" s="113" t="s">
        <v>27</v>
      </c>
      <c r="C12" s="114">
        <v>9.3000000000000007</v>
      </c>
      <c r="D12" s="114">
        <v>14.9</v>
      </c>
      <c r="E12" s="114">
        <v>182744</v>
      </c>
      <c r="F12" s="114">
        <v>8.6</v>
      </c>
      <c r="G12" s="114">
        <v>43.4</v>
      </c>
      <c r="H12" s="114">
        <v>37.9</v>
      </c>
    </row>
    <row r="13" spans="1:8" x14ac:dyDescent="0.3">
      <c r="A13" s="150">
        <v>1922</v>
      </c>
      <c r="B13" s="113" t="s">
        <v>30</v>
      </c>
      <c r="C13" s="114">
        <v>9.6</v>
      </c>
      <c r="D13" s="114">
        <v>18.899999999999999</v>
      </c>
      <c r="E13" s="114">
        <v>134407</v>
      </c>
      <c r="F13" s="114">
        <v>10.7</v>
      </c>
      <c r="G13" s="114">
        <v>42.3</v>
      </c>
      <c r="H13" s="114">
        <v>30.9</v>
      </c>
    </row>
    <row r="14" spans="1:8" x14ac:dyDescent="0.3">
      <c r="A14" s="150">
        <v>1923</v>
      </c>
      <c r="B14" s="113" t="s">
        <v>34</v>
      </c>
      <c r="C14" s="114">
        <v>10.7</v>
      </c>
      <c r="D14" s="114">
        <v>25.5</v>
      </c>
      <c r="E14" s="114">
        <v>129278</v>
      </c>
      <c r="F14" s="114">
        <v>9.4</v>
      </c>
      <c r="G14" s="114">
        <v>41.7</v>
      </c>
      <c r="H14" s="114">
        <v>27.3</v>
      </c>
    </row>
    <row r="15" spans="1:8" x14ac:dyDescent="0.3">
      <c r="A15" s="150">
        <v>1924</v>
      </c>
      <c r="B15" s="113" t="s">
        <v>36</v>
      </c>
      <c r="C15" s="114">
        <v>9.3000000000000007</v>
      </c>
      <c r="D15" s="114">
        <v>20.100000000000001</v>
      </c>
      <c r="E15" s="114">
        <v>111222</v>
      </c>
      <c r="F15" s="114">
        <v>10.8</v>
      </c>
      <c r="G15" s="114">
        <v>41.5</v>
      </c>
      <c r="H15" s="114">
        <v>33.1</v>
      </c>
    </row>
    <row r="16" spans="1:8" x14ac:dyDescent="0.3">
      <c r="A16" s="150">
        <v>1925</v>
      </c>
      <c r="B16" s="113" t="s">
        <v>39</v>
      </c>
      <c r="C16" s="114">
        <v>9.1999999999999993</v>
      </c>
      <c r="D16" s="114">
        <v>17.8</v>
      </c>
      <c r="E16" s="114">
        <v>107524</v>
      </c>
      <c r="F16" s="114">
        <v>12.6</v>
      </c>
      <c r="G16" s="114">
        <v>41.9</v>
      </c>
      <c r="H16" s="114">
        <v>20</v>
      </c>
    </row>
    <row r="17" spans="1:8" x14ac:dyDescent="0.3">
      <c r="A17" s="150">
        <v>1926</v>
      </c>
      <c r="B17" s="113" t="s">
        <v>42</v>
      </c>
      <c r="C17" s="114">
        <v>8.4</v>
      </c>
      <c r="D17" s="114">
        <v>15.3</v>
      </c>
      <c r="E17" s="114">
        <v>143902</v>
      </c>
      <c r="F17" s="114">
        <v>12.2</v>
      </c>
      <c r="G17" s="114">
        <v>40.9</v>
      </c>
      <c r="H17" s="114">
        <v>45</v>
      </c>
    </row>
    <row r="18" spans="1:8" x14ac:dyDescent="0.3">
      <c r="A18" s="150">
        <v>1927</v>
      </c>
      <c r="B18" s="113" t="s">
        <v>45</v>
      </c>
      <c r="C18" s="114">
        <v>5.7</v>
      </c>
      <c r="D18" s="114">
        <v>13.4</v>
      </c>
      <c r="E18" s="114">
        <v>131071</v>
      </c>
      <c r="F18" s="114">
        <v>9.3000000000000007</v>
      </c>
      <c r="G18" s="114">
        <v>37.6</v>
      </c>
      <c r="H18" s="114">
        <v>32.4</v>
      </c>
    </row>
    <row r="19" spans="1:8" x14ac:dyDescent="0.3">
      <c r="A19" s="150">
        <v>1928</v>
      </c>
      <c r="B19" s="113" t="s">
        <v>49</v>
      </c>
      <c r="C19" s="114">
        <v>10.1</v>
      </c>
      <c r="D19" s="114">
        <v>14.4</v>
      </c>
      <c r="E19" s="114">
        <v>186133</v>
      </c>
      <c r="F19" s="114">
        <v>7</v>
      </c>
      <c r="G19" s="114">
        <v>40.6</v>
      </c>
      <c r="H19" s="114">
        <v>38.5</v>
      </c>
    </row>
    <row r="20" spans="1:8" x14ac:dyDescent="0.3">
      <c r="A20" s="150">
        <v>1929</v>
      </c>
      <c r="B20" s="113" t="s">
        <v>53</v>
      </c>
      <c r="C20" s="114">
        <v>11.1</v>
      </c>
      <c r="D20" s="114">
        <v>38.799999999999997</v>
      </c>
      <c r="E20" s="114">
        <v>174823</v>
      </c>
      <c r="F20" s="114">
        <v>8.5</v>
      </c>
      <c r="G20" s="114">
        <v>39.5</v>
      </c>
      <c r="H20" s="114">
        <v>31.2</v>
      </c>
    </row>
    <row r="21" spans="1:8" x14ac:dyDescent="0.3">
      <c r="A21" s="150">
        <v>1931</v>
      </c>
      <c r="B21" s="113" t="s">
        <v>56</v>
      </c>
      <c r="C21" s="114">
        <v>8.5</v>
      </c>
      <c r="D21" s="114">
        <v>18.8</v>
      </c>
      <c r="E21" s="114">
        <v>112812</v>
      </c>
      <c r="F21" s="114">
        <v>11.9</v>
      </c>
      <c r="G21" s="114">
        <v>40.5</v>
      </c>
      <c r="H21" s="114">
        <v>35.4</v>
      </c>
    </row>
    <row r="22" spans="1:8" x14ac:dyDescent="0.3">
      <c r="A22" s="150">
        <v>1933</v>
      </c>
      <c r="B22" s="113" t="s">
        <v>60</v>
      </c>
      <c r="C22" s="114">
        <v>14</v>
      </c>
      <c r="D22" s="114">
        <v>21.2</v>
      </c>
      <c r="E22" s="114">
        <v>139078</v>
      </c>
      <c r="F22" s="114">
        <v>8.6</v>
      </c>
      <c r="G22" s="114">
        <v>37.1</v>
      </c>
      <c r="H22" s="114">
        <v>36.6</v>
      </c>
    </row>
    <row r="23" spans="1:8" x14ac:dyDescent="0.3">
      <c r="A23" s="150">
        <v>1936</v>
      </c>
      <c r="B23" s="113" t="s">
        <v>62</v>
      </c>
      <c r="C23" s="114">
        <v>7.9</v>
      </c>
      <c r="D23" s="114">
        <v>14.5</v>
      </c>
      <c r="E23" s="114">
        <v>174720</v>
      </c>
      <c r="F23" s="114">
        <v>6.6</v>
      </c>
      <c r="G23" s="114">
        <v>39.799999999999997</v>
      </c>
      <c r="H23" s="114">
        <v>38.5</v>
      </c>
    </row>
    <row r="24" spans="1:8" x14ac:dyDescent="0.3">
      <c r="A24" s="150">
        <v>1938</v>
      </c>
      <c r="B24" s="113" t="s">
        <v>66</v>
      </c>
      <c r="C24" s="114">
        <v>12.1</v>
      </c>
      <c r="D24" s="114">
        <v>20.7</v>
      </c>
      <c r="E24" s="114">
        <v>153466</v>
      </c>
      <c r="F24" s="114">
        <v>10.1</v>
      </c>
      <c r="G24" s="114">
        <v>41.1</v>
      </c>
      <c r="H24" s="114">
        <v>41.7</v>
      </c>
    </row>
    <row r="25" spans="1:8" x14ac:dyDescent="0.3">
      <c r="A25" s="150">
        <v>1939</v>
      </c>
      <c r="B25" s="113" t="s">
        <v>70</v>
      </c>
      <c r="C25" s="114">
        <v>9.1999999999999993</v>
      </c>
      <c r="D25" s="114">
        <v>19.7</v>
      </c>
      <c r="E25" s="114">
        <v>138048</v>
      </c>
      <c r="F25" s="114">
        <v>12</v>
      </c>
      <c r="G25" s="114">
        <v>43</v>
      </c>
      <c r="H25" s="114">
        <v>36.700000000000003</v>
      </c>
    </row>
    <row r="26" spans="1:8" x14ac:dyDescent="0.3">
      <c r="A26" s="150">
        <v>1940</v>
      </c>
      <c r="B26" s="113" t="s">
        <v>95</v>
      </c>
      <c r="C26" s="114">
        <v>14.2</v>
      </c>
      <c r="D26" s="114">
        <v>24.4</v>
      </c>
      <c r="E26" s="114">
        <v>171969</v>
      </c>
      <c r="F26" s="114">
        <v>8.6999999999999993</v>
      </c>
      <c r="G26" s="114">
        <v>39.799999999999997</v>
      </c>
      <c r="H26" s="114">
        <v>34</v>
      </c>
    </row>
    <row r="27" spans="1:8" x14ac:dyDescent="0.3">
      <c r="A27" s="150">
        <v>1941</v>
      </c>
      <c r="B27" s="113" t="s">
        <v>77</v>
      </c>
      <c r="C27" s="114">
        <v>10.8</v>
      </c>
      <c r="D27" s="114">
        <v>21.2</v>
      </c>
      <c r="E27" s="114">
        <v>137455</v>
      </c>
      <c r="F27" s="114">
        <v>9.5</v>
      </c>
      <c r="G27" s="114">
        <v>39.1</v>
      </c>
      <c r="H27" s="114">
        <v>42.2</v>
      </c>
    </row>
    <row r="28" spans="1:8" x14ac:dyDescent="0.3">
      <c r="A28" s="150">
        <v>1942</v>
      </c>
      <c r="B28" s="113" t="s">
        <v>81</v>
      </c>
      <c r="C28" s="114">
        <v>12.4</v>
      </c>
      <c r="D28" s="114">
        <v>21.2</v>
      </c>
      <c r="E28" s="114">
        <v>136782</v>
      </c>
      <c r="F28" s="114">
        <v>10.4</v>
      </c>
      <c r="G28" s="114">
        <v>36.700000000000003</v>
      </c>
      <c r="H28" s="114">
        <v>46.2</v>
      </c>
    </row>
    <row r="29" spans="1:8" x14ac:dyDescent="0.3">
      <c r="A29" s="150">
        <v>1943</v>
      </c>
      <c r="B29" s="113" t="s">
        <v>84</v>
      </c>
      <c r="C29" s="114">
        <v>9.6</v>
      </c>
      <c r="D29" s="114">
        <v>14.9</v>
      </c>
      <c r="E29" s="114">
        <v>194864</v>
      </c>
      <c r="F29" s="114">
        <v>7.3</v>
      </c>
      <c r="G29" s="114">
        <v>40.9</v>
      </c>
      <c r="H29" s="114">
        <v>35</v>
      </c>
    </row>
    <row r="30" spans="1:8" x14ac:dyDescent="0.3">
      <c r="A30" s="150" t="s">
        <v>175</v>
      </c>
      <c r="B30" s="115" t="s">
        <v>88</v>
      </c>
      <c r="C30" s="151">
        <v>8.8000000000000007</v>
      </c>
      <c r="D30" s="151">
        <v>21</v>
      </c>
      <c r="E30" s="151">
        <v>121727</v>
      </c>
      <c r="F30" s="151">
        <v>12</v>
      </c>
      <c r="G30" s="151">
        <v>40.299999999999997</v>
      </c>
      <c r="H30" s="151">
        <v>34.1</v>
      </c>
    </row>
    <row r="31" spans="1:8" x14ac:dyDescent="0.3">
      <c r="A31" s="150" t="s">
        <v>176</v>
      </c>
      <c r="B31" s="115" t="s">
        <v>176</v>
      </c>
      <c r="C31" s="114">
        <v>9.1</v>
      </c>
      <c r="D31" s="114">
        <v>17.100000000000001</v>
      </c>
      <c r="E31" s="114">
        <v>122511</v>
      </c>
      <c r="F31" s="114">
        <v>11.8</v>
      </c>
      <c r="G31" s="152" t="s">
        <v>277</v>
      </c>
      <c r="H31" s="114">
        <v>35</v>
      </c>
    </row>
    <row r="32" spans="1:8" x14ac:dyDescent="0.3">
      <c r="A32" s="150" t="s">
        <v>177</v>
      </c>
      <c r="B32" s="115" t="s">
        <v>177</v>
      </c>
      <c r="C32" s="114">
        <v>10.5</v>
      </c>
      <c r="D32" s="114">
        <v>19.600000000000001</v>
      </c>
      <c r="E32" s="114">
        <v>136785</v>
      </c>
      <c r="F32" s="114">
        <v>10.4</v>
      </c>
      <c r="G32" s="152" t="s">
        <v>277</v>
      </c>
      <c r="H32" s="114">
        <v>37.299999999999997</v>
      </c>
    </row>
    <row r="33" spans="1:8" s="76" customFormat="1" x14ac:dyDescent="0.3">
      <c r="A33" s="150" t="s">
        <v>377</v>
      </c>
      <c r="B33" s="115" t="s">
        <v>377</v>
      </c>
      <c r="C33" s="114">
        <v>8.3000000000000007</v>
      </c>
      <c r="D33" s="114">
        <v>16.399999999999999</v>
      </c>
      <c r="E33" s="114">
        <v>136186</v>
      </c>
      <c r="F33" s="114">
        <v>10.6</v>
      </c>
      <c r="G33" s="152" t="s">
        <v>277</v>
      </c>
      <c r="H33" s="114">
        <v>34.700000000000003</v>
      </c>
    </row>
    <row r="34" spans="1:8" x14ac:dyDescent="0.3">
      <c r="A34" s="150" t="s">
        <v>178</v>
      </c>
      <c r="B34" s="115" t="s">
        <v>178</v>
      </c>
      <c r="C34" s="114">
        <v>9.9</v>
      </c>
      <c r="D34" s="114">
        <v>17.3</v>
      </c>
      <c r="E34" s="114">
        <v>150704</v>
      </c>
      <c r="F34" s="114">
        <v>10</v>
      </c>
      <c r="G34" s="152" t="s">
        <v>277</v>
      </c>
      <c r="H34" s="114">
        <v>38.1</v>
      </c>
    </row>
    <row r="35" spans="1:8" x14ac:dyDescent="0.3">
      <c r="A35" s="150" t="s">
        <v>179</v>
      </c>
      <c r="B35" s="115" t="s">
        <v>179</v>
      </c>
      <c r="C35" s="114">
        <v>10.4</v>
      </c>
      <c r="D35" s="114">
        <v>18.899999999999999</v>
      </c>
      <c r="E35" s="114">
        <v>162355</v>
      </c>
      <c r="F35" s="114">
        <v>8.6999999999999993</v>
      </c>
      <c r="G35" s="152" t="s">
        <v>277</v>
      </c>
      <c r="H35" s="114">
        <v>37.5</v>
      </c>
    </row>
    <row r="36" spans="1:8" x14ac:dyDescent="0.3">
      <c r="A36" s="150" t="s">
        <v>180</v>
      </c>
      <c r="B36" s="115" t="s">
        <v>180</v>
      </c>
      <c r="C36" s="114">
        <v>8.4</v>
      </c>
      <c r="D36" s="114">
        <v>18.399999999999999</v>
      </c>
      <c r="E36" s="114">
        <v>115943</v>
      </c>
      <c r="F36" s="114">
        <v>12.3</v>
      </c>
      <c r="G36" s="152" t="s">
        <v>277</v>
      </c>
      <c r="H36" s="114">
        <v>34.6</v>
      </c>
    </row>
    <row r="37" spans="1:8" x14ac:dyDescent="0.3">
      <c r="A37" s="150" t="s">
        <v>181</v>
      </c>
      <c r="B37" s="115" t="s">
        <v>181</v>
      </c>
      <c r="C37" s="114">
        <v>9.8000000000000007</v>
      </c>
      <c r="D37" s="114">
        <v>20.399999999999999</v>
      </c>
      <c r="E37" s="114">
        <v>126269</v>
      </c>
      <c r="F37" s="114">
        <v>11.2</v>
      </c>
      <c r="G37" s="152" t="s">
        <v>277</v>
      </c>
      <c r="H37" s="114">
        <v>34.6</v>
      </c>
    </row>
    <row r="38" spans="1:8" x14ac:dyDescent="0.3">
      <c r="A38" s="150" t="s">
        <v>182</v>
      </c>
      <c r="B38" s="115" t="s">
        <v>182</v>
      </c>
      <c r="C38" s="114">
        <v>7.6</v>
      </c>
      <c r="D38" s="114">
        <v>17.3</v>
      </c>
      <c r="E38" s="114">
        <v>102112</v>
      </c>
      <c r="F38" s="114">
        <v>14.6</v>
      </c>
      <c r="G38" s="152" t="s">
        <v>277</v>
      </c>
      <c r="H38" s="114">
        <v>31.6</v>
      </c>
    </row>
    <row r="39" spans="1:8" x14ac:dyDescent="0.3">
      <c r="A39" s="150" t="s">
        <v>378</v>
      </c>
      <c r="B39" s="115" t="s">
        <v>378</v>
      </c>
      <c r="C39" s="114">
        <v>9.8000000000000007</v>
      </c>
      <c r="D39" s="114">
        <v>19.5</v>
      </c>
      <c r="E39" s="114">
        <v>164530</v>
      </c>
      <c r="F39" s="114">
        <v>9.6999999999999993</v>
      </c>
      <c r="G39" s="152" t="s">
        <v>277</v>
      </c>
      <c r="H39" s="114">
        <v>37.1</v>
      </c>
    </row>
  </sheetData>
  <pageMargins left="0.7" right="0.7" top="0.75" bottom="0.75" header="0.3" footer="0.3"/>
  <pageSetup paperSize="9" scale="74"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1">
    <pageSetUpPr fitToPage="1"/>
  </sheetPr>
  <dimension ref="A1:G38"/>
  <sheetViews>
    <sheetView workbookViewId="0">
      <selection activeCell="E3" sqref="E3"/>
    </sheetView>
  </sheetViews>
  <sheetFormatPr baseColWidth="10" defaultRowHeight="14.4" x14ac:dyDescent="0.3"/>
  <cols>
    <col min="1" max="1" width="22.88671875" bestFit="1" customWidth="1"/>
    <col min="2" max="2" width="17" bestFit="1" customWidth="1"/>
    <col min="3" max="3" width="22.109375" customWidth="1"/>
    <col min="4" max="4" width="21.44140625" customWidth="1"/>
    <col min="5" max="5" width="23.33203125" customWidth="1"/>
    <col min="6" max="6" width="21" customWidth="1"/>
    <col min="7" max="7" width="18.109375" customWidth="1"/>
  </cols>
  <sheetData>
    <row r="1" spans="1:7" x14ac:dyDescent="0.3">
      <c r="A1" s="7">
        <v>2014</v>
      </c>
      <c r="B1" s="7"/>
      <c r="C1" s="81" t="s">
        <v>264</v>
      </c>
      <c r="D1" s="81" t="s">
        <v>264</v>
      </c>
      <c r="E1" s="81" t="s">
        <v>264</v>
      </c>
      <c r="F1" s="81" t="s">
        <v>264</v>
      </c>
      <c r="G1" s="81" t="s">
        <v>264</v>
      </c>
    </row>
    <row r="2" spans="1:7" s="68" customFormat="1" ht="57.6" x14ac:dyDescent="0.3">
      <c r="A2" s="68" t="s">
        <v>264</v>
      </c>
      <c r="C2" s="17" t="s">
        <v>340</v>
      </c>
      <c r="D2" s="81" t="s">
        <v>341</v>
      </c>
      <c r="E2" s="81" t="s">
        <v>342</v>
      </c>
      <c r="F2" s="81" t="s">
        <v>343</v>
      </c>
      <c r="G2" s="81" t="s">
        <v>393</v>
      </c>
    </row>
    <row r="3" spans="1:7" x14ac:dyDescent="0.3">
      <c r="A3" s="67" t="s">
        <v>173</v>
      </c>
      <c r="B3" s="7" t="s">
        <v>174</v>
      </c>
      <c r="C3" s="78">
        <v>90.9</v>
      </c>
      <c r="D3" s="78">
        <v>174907</v>
      </c>
      <c r="E3" s="78">
        <v>35</v>
      </c>
      <c r="F3" s="78">
        <v>90.9</v>
      </c>
      <c r="G3" s="78">
        <v>4.3</v>
      </c>
    </row>
    <row r="4" spans="1:7" x14ac:dyDescent="0.3">
      <c r="A4" s="67">
        <v>1902</v>
      </c>
      <c r="B4" s="7" t="s">
        <v>10</v>
      </c>
      <c r="C4" s="78">
        <v>96.2</v>
      </c>
      <c r="D4" s="78">
        <v>185506</v>
      </c>
      <c r="E4" s="78">
        <v>37.9</v>
      </c>
      <c r="F4" s="78">
        <v>94</v>
      </c>
      <c r="G4" s="78">
        <v>4.2</v>
      </c>
    </row>
    <row r="5" spans="1:7" s="72" customFormat="1" x14ac:dyDescent="0.3">
      <c r="A5" s="67">
        <v>1903</v>
      </c>
      <c r="B5" s="8" t="s">
        <v>6</v>
      </c>
      <c r="C5" s="78">
        <v>93</v>
      </c>
      <c r="D5" s="78">
        <v>160210</v>
      </c>
      <c r="E5" s="78">
        <v>35.200000000000003</v>
      </c>
      <c r="F5" s="78">
        <v>88</v>
      </c>
      <c r="G5" s="78">
        <v>5.3</v>
      </c>
    </row>
    <row r="6" spans="1:7" x14ac:dyDescent="0.3">
      <c r="A6" s="67">
        <v>1911</v>
      </c>
      <c r="B6" s="7" t="s">
        <v>14</v>
      </c>
      <c r="C6" s="78">
        <v>78.400000000000006</v>
      </c>
      <c r="D6" s="78">
        <v>174469</v>
      </c>
      <c r="E6" s="78">
        <v>22.2</v>
      </c>
      <c r="F6" s="78">
        <v>64.3</v>
      </c>
      <c r="G6" s="78">
        <v>13.3</v>
      </c>
    </row>
    <row r="7" spans="1:7" x14ac:dyDescent="0.3">
      <c r="A7" s="67">
        <v>1913</v>
      </c>
      <c r="B7" s="7" t="s">
        <v>18</v>
      </c>
      <c r="C7" s="78">
        <v>90.8</v>
      </c>
      <c r="D7" s="78">
        <v>178828</v>
      </c>
      <c r="E7" s="78">
        <v>34.1</v>
      </c>
      <c r="F7" s="78">
        <v>86.7</v>
      </c>
      <c r="G7" s="78">
        <v>14.6</v>
      </c>
    </row>
    <row r="8" spans="1:7" x14ac:dyDescent="0.3">
      <c r="A8" s="67">
        <v>1917</v>
      </c>
      <c r="B8" s="7" t="s">
        <v>21</v>
      </c>
      <c r="C8" s="78">
        <v>86.5</v>
      </c>
      <c r="D8" s="78">
        <v>186489</v>
      </c>
      <c r="E8" s="78">
        <v>23.5</v>
      </c>
      <c r="F8" s="78">
        <v>66.7</v>
      </c>
      <c r="G8" s="78">
        <v>11.8</v>
      </c>
    </row>
    <row r="9" spans="1:7" x14ac:dyDescent="0.3">
      <c r="A9" s="67">
        <v>1919</v>
      </c>
      <c r="B9" s="7" t="s">
        <v>24</v>
      </c>
      <c r="C9" s="78">
        <v>75.599999999999994</v>
      </c>
      <c r="D9" s="78">
        <v>289792</v>
      </c>
      <c r="E9" s="78">
        <v>38.9</v>
      </c>
      <c r="F9" s="78">
        <v>87.5</v>
      </c>
      <c r="G9" s="78">
        <v>5.6</v>
      </c>
    </row>
    <row r="10" spans="1:7" x14ac:dyDescent="0.3">
      <c r="A10" s="67">
        <v>1920</v>
      </c>
      <c r="B10" s="7" t="s">
        <v>27</v>
      </c>
      <c r="C10" s="78">
        <v>95.3</v>
      </c>
      <c r="D10" s="78">
        <v>190820</v>
      </c>
      <c r="E10" s="78">
        <v>31.8</v>
      </c>
      <c r="F10" s="78">
        <v>83.3</v>
      </c>
      <c r="G10" s="79" t="s">
        <v>277</v>
      </c>
    </row>
    <row r="11" spans="1:7" x14ac:dyDescent="0.3">
      <c r="A11" s="67">
        <v>1922</v>
      </c>
      <c r="B11" s="7" t="s">
        <v>30</v>
      </c>
      <c r="C11" s="78">
        <v>93</v>
      </c>
      <c r="D11" s="78">
        <v>199022</v>
      </c>
      <c r="E11" s="78">
        <v>37.9</v>
      </c>
      <c r="F11" s="78">
        <v>100</v>
      </c>
      <c r="G11" s="78">
        <v>4.5999999999999996</v>
      </c>
    </row>
    <row r="12" spans="1:7" x14ac:dyDescent="0.3">
      <c r="A12" s="67">
        <v>1923</v>
      </c>
      <c r="B12" s="7" t="s">
        <v>34</v>
      </c>
      <c r="C12" s="78">
        <v>98.9</v>
      </c>
      <c r="D12" s="78">
        <v>204387</v>
      </c>
      <c r="E12" s="78">
        <v>28.6</v>
      </c>
      <c r="F12" s="78">
        <v>69.2</v>
      </c>
      <c r="G12" s="78">
        <v>11.4</v>
      </c>
    </row>
    <row r="13" spans="1:7" x14ac:dyDescent="0.3">
      <c r="A13" s="67">
        <v>1924</v>
      </c>
      <c r="B13" s="7" t="s">
        <v>36</v>
      </c>
      <c r="C13" s="78">
        <v>93.9</v>
      </c>
      <c r="D13" s="78">
        <v>152802</v>
      </c>
      <c r="E13" s="78">
        <v>36.799999999999997</v>
      </c>
      <c r="F13" s="78">
        <v>89.2</v>
      </c>
      <c r="G13" s="78">
        <v>6.1</v>
      </c>
    </row>
    <row r="14" spans="1:7" x14ac:dyDescent="0.3">
      <c r="A14" s="67">
        <v>1925</v>
      </c>
      <c r="B14" s="7" t="s">
        <v>39</v>
      </c>
      <c r="C14" s="78">
        <v>88.2</v>
      </c>
      <c r="D14" s="78">
        <v>179199</v>
      </c>
      <c r="E14" s="78">
        <v>31.7</v>
      </c>
      <c r="F14" s="78">
        <v>76</v>
      </c>
      <c r="G14" s="78">
        <v>10</v>
      </c>
    </row>
    <row r="15" spans="1:7" x14ac:dyDescent="0.3">
      <c r="A15" s="67">
        <v>1926</v>
      </c>
      <c r="B15" s="7" t="s">
        <v>42</v>
      </c>
      <c r="C15" s="78">
        <v>94</v>
      </c>
      <c r="D15" s="78">
        <v>176638</v>
      </c>
      <c r="E15" s="78">
        <v>21.4</v>
      </c>
      <c r="F15" s="78">
        <v>60</v>
      </c>
      <c r="G15" s="79" t="s">
        <v>277</v>
      </c>
    </row>
    <row r="16" spans="1:7" x14ac:dyDescent="0.3">
      <c r="A16" s="67">
        <v>1927</v>
      </c>
      <c r="B16" s="7" t="s">
        <v>45</v>
      </c>
      <c r="C16" s="78">
        <v>84</v>
      </c>
      <c r="D16" s="78">
        <v>158103</v>
      </c>
      <c r="E16" s="78">
        <v>26.1</v>
      </c>
      <c r="F16" s="78">
        <v>75</v>
      </c>
      <c r="G16" s="79" t="s">
        <v>277</v>
      </c>
    </row>
    <row r="17" spans="1:7" x14ac:dyDescent="0.3">
      <c r="A17" s="67">
        <v>1928</v>
      </c>
      <c r="B17" s="7" t="s">
        <v>49</v>
      </c>
      <c r="C17" s="78">
        <v>87.5</v>
      </c>
      <c r="D17" s="78">
        <v>238812</v>
      </c>
      <c r="E17" s="78">
        <v>26.7</v>
      </c>
      <c r="F17" s="78">
        <v>66.7</v>
      </c>
      <c r="G17" s="78">
        <v>13.3</v>
      </c>
    </row>
    <row r="18" spans="1:7" x14ac:dyDescent="0.3">
      <c r="A18" s="67">
        <v>1929</v>
      </c>
      <c r="B18" s="7" t="s">
        <v>53</v>
      </c>
      <c r="C18" s="78">
        <v>87.2</v>
      </c>
      <c r="D18" s="78">
        <v>196878</v>
      </c>
      <c r="E18" s="78">
        <v>22.2</v>
      </c>
      <c r="F18" s="78">
        <v>66.7</v>
      </c>
      <c r="G18" s="78">
        <v>5.6</v>
      </c>
    </row>
    <row r="19" spans="1:7" x14ac:dyDescent="0.3">
      <c r="A19" s="67">
        <v>1931</v>
      </c>
      <c r="B19" s="7" t="s">
        <v>56</v>
      </c>
      <c r="C19" s="78">
        <v>91.4</v>
      </c>
      <c r="D19" s="78">
        <v>179584</v>
      </c>
      <c r="E19" s="78">
        <v>32.9</v>
      </c>
      <c r="F19" s="78">
        <v>91.2</v>
      </c>
      <c r="G19" s="78">
        <v>3.7</v>
      </c>
    </row>
    <row r="20" spans="1:7" x14ac:dyDescent="0.3">
      <c r="A20" s="67">
        <v>1933</v>
      </c>
      <c r="B20" s="7" t="s">
        <v>60</v>
      </c>
      <c r="C20" s="78">
        <v>88.9</v>
      </c>
      <c r="D20" s="78">
        <v>155601</v>
      </c>
      <c r="E20" s="78">
        <v>32.200000000000003</v>
      </c>
      <c r="F20" s="78">
        <v>92.6</v>
      </c>
      <c r="G20" s="78">
        <v>1.1000000000000001</v>
      </c>
    </row>
    <row r="21" spans="1:7" x14ac:dyDescent="0.3">
      <c r="A21" s="67">
        <v>1936</v>
      </c>
      <c r="B21" s="7" t="s">
        <v>62</v>
      </c>
      <c r="C21" s="78">
        <v>80</v>
      </c>
      <c r="D21" s="78">
        <v>198636</v>
      </c>
      <c r="E21" s="78">
        <v>30.8</v>
      </c>
      <c r="F21" s="78">
        <v>90.9</v>
      </c>
      <c r="G21" s="78">
        <v>2.6</v>
      </c>
    </row>
    <row r="22" spans="1:7" x14ac:dyDescent="0.3">
      <c r="A22" s="67">
        <v>1938</v>
      </c>
      <c r="B22" s="7" t="s">
        <v>66</v>
      </c>
      <c r="C22" s="78">
        <v>89.3</v>
      </c>
      <c r="D22" s="78">
        <v>199540</v>
      </c>
      <c r="E22" s="78">
        <v>30.4</v>
      </c>
      <c r="F22" s="78">
        <v>84.6</v>
      </c>
      <c r="G22" s="78">
        <v>17.399999999999999</v>
      </c>
    </row>
    <row r="23" spans="1:7" x14ac:dyDescent="0.3">
      <c r="A23" s="67">
        <v>1939</v>
      </c>
      <c r="B23" s="7" t="s">
        <v>70</v>
      </c>
      <c r="C23" s="78">
        <v>92.5</v>
      </c>
      <c r="D23" s="78">
        <v>155938</v>
      </c>
      <c r="E23" s="78">
        <v>34.4</v>
      </c>
      <c r="F23" s="78">
        <v>100</v>
      </c>
      <c r="G23" s="78">
        <v>0</v>
      </c>
    </row>
    <row r="24" spans="1:7" x14ac:dyDescent="0.3">
      <c r="A24" s="67">
        <v>1940</v>
      </c>
      <c r="B24" s="7" t="s">
        <v>95</v>
      </c>
      <c r="C24" s="78">
        <v>75.599999999999994</v>
      </c>
      <c r="D24" s="78">
        <v>215074</v>
      </c>
      <c r="E24" s="78">
        <v>27.6</v>
      </c>
      <c r="F24" s="78">
        <v>80</v>
      </c>
      <c r="G24" s="78">
        <v>13.8</v>
      </c>
    </row>
    <row r="25" spans="1:7" x14ac:dyDescent="0.3">
      <c r="A25" s="67">
        <v>1941</v>
      </c>
      <c r="B25" s="7" t="s">
        <v>77</v>
      </c>
      <c r="C25" s="78">
        <v>91.2</v>
      </c>
      <c r="D25" s="78">
        <v>218390</v>
      </c>
      <c r="E25" s="78">
        <v>24.5</v>
      </c>
      <c r="F25" s="78">
        <v>75</v>
      </c>
      <c r="G25" s="78">
        <v>5.7</v>
      </c>
    </row>
    <row r="26" spans="1:7" x14ac:dyDescent="0.3">
      <c r="A26" s="67">
        <v>1942</v>
      </c>
      <c r="B26" s="7" t="s">
        <v>81</v>
      </c>
      <c r="C26" s="78">
        <v>95.2</v>
      </c>
      <c r="D26" s="78">
        <v>151990</v>
      </c>
      <c r="E26" s="78">
        <v>25.7</v>
      </c>
      <c r="F26" s="78">
        <v>78.8</v>
      </c>
      <c r="G26" s="78">
        <v>5.9</v>
      </c>
    </row>
    <row r="27" spans="1:7" x14ac:dyDescent="0.3">
      <c r="A27" s="67">
        <v>1943</v>
      </c>
      <c r="B27" s="7" t="s">
        <v>84</v>
      </c>
      <c r="C27" s="78">
        <v>84.6</v>
      </c>
      <c r="D27" s="78">
        <v>239356</v>
      </c>
      <c r="E27" s="78">
        <v>25</v>
      </c>
      <c r="F27" s="78">
        <v>62.5</v>
      </c>
      <c r="G27" s="78">
        <v>10</v>
      </c>
    </row>
    <row r="28" spans="1:7" x14ac:dyDescent="0.3">
      <c r="A28" s="67" t="s">
        <v>175</v>
      </c>
      <c r="B28" s="8" t="s">
        <v>88</v>
      </c>
      <c r="C28" s="154">
        <v>93.4</v>
      </c>
      <c r="D28" s="154">
        <v>178799</v>
      </c>
      <c r="E28" s="154">
        <v>34.9</v>
      </c>
      <c r="F28" s="154">
        <v>89.3</v>
      </c>
      <c r="G28" s="78">
        <v>5.2</v>
      </c>
    </row>
    <row r="29" spans="1:7" x14ac:dyDescent="0.3">
      <c r="A29" s="67" t="s">
        <v>176</v>
      </c>
      <c r="B29" s="8" t="s">
        <v>176</v>
      </c>
      <c r="C29" s="155">
        <v>90.2</v>
      </c>
      <c r="D29" s="155">
        <v>171816</v>
      </c>
      <c r="E29" s="155">
        <v>32.6</v>
      </c>
      <c r="F29" s="155">
        <v>87</v>
      </c>
      <c r="G29" s="78">
        <v>3.9</v>
      </c>
    </row>
    <row r="30" spans="1:7" x14ac:dyDescent="0.3">
      <c r="A30" s="67" t="s">
        <v>177</v>
      </c>
      <c r="B30" s="8" t="s">
        <v>177</v>
      </c>
      <c r="C30" s="155">
        <v>91</v>
      </c>
      <c r="D30" s="155">
        <v>181391</v>
      </c>
      <c r="E30" s="155">
        <v>32.200000000000003</v>
      </c>
      <c r="F30" s="155">
        <v>88</v>
      </c>
      <c r="G30" s="78">
        <v>4.3</v>
      </c>
    </row>
    <row r="31" spans="1:7" s="76" customFormat="1" x14ac:dyDescent="0.3">
      <c r="A31" s="67" t="s">
        <v>377</v>
      </c>
      <c r="B31" s="8" t="s">
        <v>377</v>
      </c>
      <c r="C31" s="155">
        <v>90.8</v>
      </c>
      <c r="D31" s="155">
        <v>170535</v>
      </c>
      <c r="E31" s="155">
        <v>31.5</v>
      </c>
      <c r="F31" s="155">
        <v>85.7</v>
      </c>
      <c r="G31" s="78">
        <v>5.9</v>
      </c>
    </row>
    <row r="32" spans="1:7" x14ac:dyDescent="0.3">
      <c r="A32" s="67" t="s">
        <v>178</v>
      </c>
      <c r="B32" s="8" t="s">
        <v>178</v>
      </c>
      <c r="C32" s="155">
        <v>88.2</v>
      </c>
      <c r="D32" s="155">
        <v>181205</v>
      </c>
      <c r="E32" s="155">
        <v>29.2</v>
      </c>
      <c r="F32" s="155">
        <v>77.5</v>
      </c>
      <c r="G32" s="78">
        <v>6.6</v>
      </c>
    </row>
    <row r="33" spans="1:7" x14ac:dyDescent="0.3">
      <c r="A33" s="67" t="s">
        <v>179</v>
      </c>
      <c r="B33" s="8" t="s">
        <v>179</v>
      </c>
      <c r="C33" s="155">
        <v>88.6</v>
      </c>
      <c r="D33" s="155">
        <v>180998</v>
      </c>
      <c r="E33" s="155">
        <v>30</v>
      </c>
      <c r="F33" s="155">
        <v>80.5</v>
      </c>
      <c r="G33" s="78">
        <v>6.5</v>
      </c>
    </row>
    <row r="34" spans="1:7" x14ac:dyDescent="0.3">
      <c r="A34" s="67" t="s">
        <v>180</v>
      </c>
      <c r="B34" s="8" t="s">
        <v>180</v>
      </c>
      <c r="C34" s="155">
        <v>91</v>
      </c>
      <c r="D34" s="155">
        <v>170588</v>
      </c>
      <c r="E34" s="155">
        <v>35.1</v>
      </c>
      <c r="F34" s="155">
        <v>91.6</v>
      </c>
      <c r="G34" s="78">
        <v>3.8</v>
      </c>
    </row>
    <row r="35" spans="1:7" x14ac:dyDescent="0.3">
      <c r="A35" s="67" t="s">
        <v>181</v>
      </c>
      <c r="B35" s="8" t="s">
        <v>181</v>
      </c>
      <c r="C35" s="155">
        <v>91.2</v>
      </c>
      <c r="D35" s="155">
        <v>171346</v>
      </c>
      <c r="E35" s="155">
        <v>34.700000000000003</v>
      </c>
      <c r="F35" s="155">
        <v>91.6</v>
      </c>
      <c r="G35" s="78">
        <v>3.9</v>
      </c>
    </row>
    <row r="36" spans="1:7" x14ac:dyDescent="0.3">
      <c r="A36" s="67" t="s">
        <v>182</v>
      </c>
      <c r="B36" s="8" t="s">
        <v>182</v>
      </c>
      <c r="C36" s="155">
        <v>91.4</v>
      </c>
      <c r="D36" s="155">
        <v>172208</v>
      </c>
      <c r="E36" s="155">
        <v>35</v>
      </c>
      <c r="F36" s="155">
        <v>91.3</v>
      </c>
      <c r="G36" s="78">
        <v>4.4000000000000004</v>
      </c>
    </row>
    <row r="37" spans="1:7" x14ac:dyDescent="0.3">
      <c r="A37" s="67" t="s">
        <v>378</v>
      </c>
      <c r="B37" s="8" t="s">
        <v>378</v>
      </c>
      <c r="C37" s="155">
        <v>91.4</v>
      </c>
      <c r="D37" s="155">
        <v>206782</v>
      </c>
      <c r="E37" s="155">
        <v>28.9</v>
      </c>
      <c r="F37" s="155">
        <v>78.7</v>
      </c>
      <c r="G37" s="78">
        <v>5.3</v>
      </c>
    </row>
    <row r="38" spans="1:7" x14ac:dyDescent="0.3">
      <c r="D38" s="18"/>
    </row>
  </sheetData>
  <pageMargins left="0.7" right="0.7" top="0.75" bottom="0.75" header="0.3" footer="0.3"/>
  <pageSetup paperSize="9" scale="84"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pageSetUpPr fitToPage="1"/>
  </sheetPr>
  <dimension ref="A1:P34"/>
  <sheetViews>
    <sheetView zoomScaleNormal="100" workbookViewId="0">
      <selection activeCell="F30" sqref="F30"/>
    </sheetView>
  </sheetViews>
  <sheetFormatPr baseColWidth="10" defaultRowHeight="14.4" x14ac:dyDescent="0.3"/>
  <cols>
    <col min="1" max="1" width="13.44140625" customWidth="1"/>
    <col min="2" max="2" width="16.88671875" customWidth="1"/>
    <col min="3" max="11" width="12.33203125" customWidth="1"/>
    <col min="12" max="12" width="17.5546875" customWidth="1"/>
    <col min="13" max="13" width="12.33203125" customWidth="1"/>
    <col min="14" max="14" width="15.109375" customWidth="1"/>
    <col min="15" max="15" width="15.109375" style="18" customWidth="1"/>
  </cols>
  <sheetData>
    <row r="1" spans="1:15" ht="23.4" x14ac:dyDescent="0.45">
      <c r="A1" s="9" t="s">
        <v>98</v>
      </c>
    </row>
    <row r="4" spans="1:15" x14ac:dyDescent="0.3">
      <c r="A4" s="8" t="s">
        <v>99</v>
      </c>
    </row>
    <row r="5" spans="1:15" x14ac:dyDescent="0.3">
      <c r="A5" s="6"/>
      <c r="O5" s="116"/>
    </row>
    <row r="6" spans="1:15" x14ac:dyDescent="0.3">
      <c r="A6" s="52" t="s">
        <v>96</v>
      </c>
      <c r="B6" s="52" t="s">
        <v>97</v>
      </c>
      <c r="C6" s="53">
        <v>2003</v>
      </c>
      <c r="D6" s="53">
        <v>2004</v>
      </c>
      <c r="E6" s="53">
        <v>2005</v>
      </c>
      <c r="F6" s="53">
        <v>2006</v>
      </c>
      <c r="G6" s="53">
        <v>2007</v>
      </c>
      <c r="H6" s="53">
        <v>2008</v>
      </c>
      <c r="I6" s="53">
        <v>2009</v>
      </c>
      <c r="J6" s="53">
        <v>2010</v>
      </c>
      <c r="K6" s="53">
        <v>2011</v>
      </c>
      <c r="L6" s="70">
        <v>2012</v>
      </c>
      <c r="M6" s="53">
        <v>2013</v>
      </c>
      <c r="N6" s="141">
        <v>2014</v>
      </c>
      <c r="O6" s="145" t="s">
        <v>448</v>
      </c>
    </row>
    <row r="7" spans="1:15" x14ac:dyDescent="0.3">
      <c r="A7" s="54">
        <v>1902</v>
      </c>
      <c r="B7" s="54" t="s">
        <v>10</v>
      </c>
      <c r="C7" s="55"/>
      <c r="D7" s="55">
        <v>62541</v>
      </c>
      <c r="E7" s="55">
        <v>63596</v>
      </c>
      <c r="F7" s="55">
        <v>64492</v>
      </c>
      <c r="G7" s="55">
        <v>65286</v>
      </c>
      <c r="H7" s="55">
        <v>66513</v>
      </c>
      <c r="I7" s="55">
        <v>67305</v>
      </c>
      <c r="J7" s="55">
        <v>68239</v>
      </c>
      <c r="K7" s="55">
        <v>69116</v>
      </c>
      <c r="L7" s="106">
        <v>70358</v>
      </c>
      <c r="M7" s="82">
        <v>71590</v>
      </c>
      <c r="N7" s="142">
        <v>72681</v>
      </c>
      <c r="O7" s="142">
        <v>73037</v>
      </c>
    </row>
    <row r="8" spans="1:15" s="72" customFormat="1" x14ac:dyDescent="0.3">
      <c r="A8" s="54">
        <v>1903</v>
      </c>
      <c r="B8" s="71" t="s">
        <v>6</v>
      </c>
      <c r="C8" s="55"/>
      <c r="D8" s="55">
        <v>23646</v>
      </c>
      <c r="E8" s="55">
        <v>23765</v>
      </c>
      <c r="F8" s="55">
        <v>23784</v>
      </c>
      <c r="G8" s="55">
        <v>23617</v>
      </c>
      <c r="H8" s="55">
        <v>23629</v>
      </c>
      <c r="I8" s="55">
        <v>23739</v>
      </c>
      <c r="J8" s="55">
        <v>23899</v>
      </c>
      <c r="K8" s="55">
        <v>24095</v>
      </c>
      <c r="L8" s="55">
        <v>24291</v>
      </c>
      <c r="M8" s="82">
        <v>24441</v>
      </c>
      <c r="N8" s="142">
        <v>24676</v>
      </c>
      <c r="O8" s="142">
        <v>24692</v>
      </c>
    </row>
    <row r="9" spans="1:15" x14ac:dyDescent="0.3">
      <c r="A9" s="54">
        <v>1911</v>
      </c>
      <c r="B9" s="54" t="s">
        <v>14</v>
      </c>
      <c r="C9" s="55"/>
      <c r="D9" s="55">
        <v>3078</v>
      </c>
      <c r="E9" s="55">
        <v>3067</v>
      </c>
      <c r="F9" s="55">
        <v>3048</v>
      </c>
      <c r="G9" s="55">
        <v>3036</v>
      </c>
      <c r="H9" s="55">
        <v>3032</v>
      </c>
      <c r="I9" s="55">
        <v>3049</v>
      </c>
      <c r="J9" s="55">
        <v>3050</v>
      </c>
      <c r="K9" s="55">
        <v>3025</v>
      </c>
      <c r="L9" s="106">
        <v>3082</v>
      </c>
      <c r="M9" s="82">
        <v>3107</v>
      </c>
      <c r="N9" s="142">
        <v>3076</v>
      </c>
      <c r="O9" s="142">
        <v>3013</v>
      </c>
    </row>
    <row r="10" spans="1:15" x14ac:dyDescent="0.3">
      <c r="A10" s="54">
        <v>1913</v>
      </c>
      <c r="B10" s="54" t="s">
        <v>18</v>
      </c>
      <c r="C10" s="55"/>
      <c r="D10" s="55">
        <v>2954</v>
      </c>
      <c r="E10" s="55">
        <v>2918</v>
      </c>
      <c r="F10" s="55">
        <v>2883</v>
      </c>
      <c r="G10" s="55">
        <v>2862</v>
      </c>
      <c r="H10" s="55">
        <v>2841</v>
      </c>
      <c r="I10" s="55">
        <v>2855</v>
      </c>
      <c r="J10" s="55">
        <v>2896</v>
      </c>
      <c r="K10" s="55">
        <v>2972</v>
      </c>
      <c r="L10" s="106">
        <v>2940</v>
      </c>
      <c r="M10" s="82">
        <v>2951</v>
      </c>
      <c r="N10" s="142">
        <v>2988</v>
      </c>
      <c r="O10" s="142">
        <v>2983</v>
      </c>
    </row>
    <row r="11" spans="1:15" x14ac:dyDescent="0.3">
      <c r="A11" s="54">
        <v>1917</v>
      </c>
      <c r="B11" s="54" t="s">
        <v>21</v>
      </c>
      <c r="C11" s="55"/>
      <c r="D11" s="55">
        <v>1649</v>
      </c>
      <c r="E11" s="55">
        <v>1630</v>
      </c>
      <c r="F11" s="55">
        <v>1574</v>
      </c>
      <c r="G11" s="55">
        <v>1511</v>
      </c>
      <c r="H11" s="55">
        <v>1440</v>
      </c>
      <c r="I11" s="55">
        <v>1408</v>
      </c>
      <c r="J11" s="55">
        <v>1419</v>
      </c>
      <c r="K11" s="55">
        <v>1410</v>
      </c>
      <c r="L11" s="106">
        <v>1421</v>
      </c>
      <c r="M11" s="82">
        <v>1436</v>
      </c>
      <c r="N11" s="142">
        <v>1410</v>
      </c>
      <c r="O11" s="142">
        <v>1417</v>
      </c>
    </row>
    <row r="12" spans="1:15" x14ac:dyDescent="0.3">
      <c r="A12" s="54">
        <v>1919</v>
      </c>
      <c r="B12" s="54" t="s">
        <v>24</v>
      </c>
      <c r="C12" s="55"/>
      <c r="D12" s="55">
        <v>1268</v>
      </c>
      <c r="E12" s="55">
        <v>1245</v>
      </c>
      <c r="F12" s="55">
        <v>1226</v>
      </c>
      <c r="G12" s="55">
        <v>1168</v>
      </c>
      <c r="H12" s="55">
        <v>1151</v>
      </c>
      <c r="I12" s="55">
        <v>1150</v>
      </c>
      <c r="J12" s="55">
        <v>1115</v>
      </c>
      <c r="K12" s="55">
        <v>1136</v>
      </c>
      <c r="L12" s="106">
        <v>1119</v>
      </c>
      <c r="M12" s="82">
        <v>1135</v>
      </c>
      <c r="N12" s="142">
        <v>1137</v>
      </c>
      <c r="O12" s="142">
        <v>1132</v>
      </c>
    </row>
    <row r="13" spans="1:15" x14ac:dyDescent="0.3">
      <c r="A13" s="54">
        <v>1920</v>
      </c>
      <c r="B13" s="54" t="s">
        <v>27</v>
      </c>
      <c r="C13" s="55"/>
      <c r="D13" s="55">
        <v>1028</v>
      </c>
      <c r="E13" s="55">
        <v>1035</v>
      </c>
      <c r="F13" s="55">
        <v>1011</v>
      </c>
      <c r="G13" s="55">
        <v>1010</v>
      </c>
      <c r="H13" s="55">
        <v>1023</v>
      </c>
      <c r="I13" s="55">
        <v>1012</v>
      </c>
      <c r="J13" s="55">
        <v>1003</v>
      </c>
      <c r="K13" s="55">
        <v>1016</v>
      </c>
      <c r="L13" s="106">
        <v>1012</v>
      </c>
      <c r="M13" s="82">
        <v>1014</v>
      </c>
      <c r="N13" s="142">
        <v>1008</v>
      </c>
      <c r="O13" s="142">
        <v>1032</v>
      </c>
    </row>
    <row r="14" spans="1:15" x14ac:dyDescent="0.3">
      <c r="A14" s="54">
        <v>1922</v>
      </c>
      <c r="B14" s="54" t="s">
        <v>30</v>
      </c>
      <c r="C14" s="55"/>
      <c r="D14" s="55">
        <v>3877</v>
      </c>
      <c r="E14" s="55">
        <v>3799</v>
      </c>
      <c r="F14" s="55">
        <v>3920</v>
      </c>
      <c r="G14" s="55">
        <v>3994</v>
      </c>
      <c r="H14" s="55">
        <v>3981</v>
      </c>
      <c r="I14" s="55">
        <v>3949</v>
      </c>
      <c r="J14" s="55">
        <v>3942</v>
      </c>
      <c r="K14" s="55">
        <v>3875</v>
      </c>
      <c r="L14" s="106">
        <v>3933</v>
      </c>
      <c r="M14" s="82">
        <v>3985</v>
      </c>
      <c r="N14" s="142">
        <v>4078</v>
      </c>
      <c r="O14" s="142">
        <v>4004</v>
      </c>
    </row>
    <row r="15" spans="1:15" x14ac:dyDescent="0.3">
      <c r="A15" s="54">
        <v>1923</v>
      </c>
      <c r="B15" s="54" t="s">
        <v>34</v>
      </c>
      <c r="C15" s="55"/>
      <c r="D15" s="55">
        <v>2240</v>
      </c>
      <c r="E15" s="55">
        <v>2263</v>
      </c>
      <c r="F15" s="55">
        <v>2232</v>
      </c>
      <c r="G15" s="55">
        <v>2169</v>
      </c>
      <c r="H15" s="55">
        <v>2203</v>
      </c>
      <c r="I15" s="55">
        <v>2211</v>
      </c>
      <c r="J15" s="55">
        <v>2179</v>
      </c>
      <c r="K15" s="55">
        <v>2214</v>
      </c>
      <c r="L15" s="106">
        <v>2220</v>
      </c>
      <c r="M15" s="82">
        <v>2223</v>
      </c>
      <c r="N15" s="142">
        <v>2219</v>
      </c>
      <c r="O15" s="142">
        <v>2249</v>
      </c>
    </row>
    <row r="16" spans="1:15" x14ac:dyDescent="0.3">
      <c r="A16" s="54">
        <v>1924</v>
      </c>
      <c r="B16" s="54" t="s">
        <v>36</v>
      </c>
      <c r="C16" s="55"/>
      <c r="D16" s="55">
        <v>6662</v>
      </c>
      <c r="E16" s="55">
        <v>6578</v>
      </c>
      <c r="F16" s="55">
        <v>6590</v>
      </c>
      <c r="G16" s="55">
        <v>6603</v>
      </c>
      <c r="H16" s="55">
        <v>6490</v>
      </c>
      <c r="I16" s="55">
        <v>6510</v>
      </c>
      <c r="J16" s="55">
        <v>6563</v>
      </c>
      <c r="K16" s="55">
        <v>6599</v>
      </c>
      <c r="L16" s="106">
        <v>6630</v>
      </c>
      <c r="M16" s="82">
        <v>6634</v>
      </c>
      <c r="N16" s="142">
        <v>6693</v>
      </c>
      <c r="O16" s="142">
        <v>6692</v>
      </c>
    </row>
    <row r="17" spans="1:16" x14ac:dyDescent="0.3">
      <c r="A17" s="54">
        <v>1925</v>
      </c>
      <c r="B17" s="54" t="s">
        <v>39</v>
      </c>
      <c r="C17" s="55"/>
      <c r="D17" s="55">
        <v>3326</v>
      </c>
      <c r="E17" s="55">
        <v>3322</v>
      </c>
      <c r="F17" s="55">
        <v>3315</v>
      </c>
      <c r="G17" s="55">
        <v>3312</v>
      </c>
      <c r="H17" s="55">
        <v>3360</v>
      </c>
      <c r="I17" s="55">
        <v>3366</v>
      </c>
      <c r="J17" s="55">
        <v>3371</v>
      </c>
      <c r="K17" s="55">
        <v>3381</v>
      </c>
      <c r="L17" s="106">
        <v>3407</v>
      </c>
      <c r="M17" s="82">
        <v>3450</v>
      </c>
      <c r="N17" s="142">
        <v>3451</v>
      </c>
      <c r="O17" s="142">
        <v>3459</v>
      </c>
    </row>
    <row r="18" spans="1:16" x14ac:dyDescent="0.3">
      <c r="A18" s="54">
        <v>1926</v>
      </c>
      <c r="B18" s="54" t="s">
        <v>42</v>
      </c>
      <c r="C18" s="55"/>
      <c r="D18" s="55">
        <v>1288</v>
      </c>
      <c r="E18" s="55">
        <v>1295</v>
      </c>
      <c r="F18" s="55">
        <v>1265</v>
      </c>
      <c r="G18" s="55">
        <v>1232</v>
      </c>
      <c r="H18" s="55">
        <v>1216</v>
      </c>
      <c r="I18" s="55">
        <v>1233</v>
      </c>
      <c r="J18" s="55">
        <v>1205</v>
      </c>
      <c r="K18" s="55">
        <v>1188</v>
      </c>
      <c r="L18" s="106">
        <v>1190</v>
      </c>
      <c r="M18" s="82">
        <v>1171</v>
      </c>
      <c r="N18" s="142">
        <v>1154</v>
      </c>
      <c r="O18" s="142">
        <v>1152</v>
      </c>
    </row>
    <row r="19" spans="1:16" x14ac:dyDescent="0.3">
      <c r="A19" s="54">
        <v>1927</v>
      </c>
      <c r="B19" s="54" t="s">
        <v>45</v>
      </c>
      <c r="C19" s="55"/>
      <c r="D19" s="55">
        <v>1632</v>
      </c>
      <c r="E19" s="55">
        <v>1598</v>
      </c>
      <c r="F19" s="55">
        <v>1570</v>
      </c>
      <c r="G19" s="55">
        <v>1579</v>
      </c>
      <c r="H19" s="55">
        <v>1537</v>
      </c>
      <c r="I19" s="55">
        <v>1552</v>
      </c>
      <c r="J19" s="55">
        <v>1538</v>
      </c>
      <c r="K19" s="55">
        <v>1524</v>
      </c>
      <c r="L19" s="106">
        <v>1514</v>
      </c>
      <c r="M19" s="82">
        <v>1510</v>
      </c>
      <c r="N19" s="142">
        <v>1544</v>
      </c>
      <c r="O19" s="142">
        <v>1549</v>
      </c>
    </row>
    <row r="20" spans="1:16" x14ac:dyDescent="0.3">
      <c r="A20" s="54">
        <v>1928</v>
      </c>
      <c r="B20" s="54" t="s">
        <v>49</v>
      </c>
      <c r="C20" s="55"/>
      <c r="D20" s="55">
        <v>1033</v>
      </c>
      <c r="E20" s="55">
        <v>1005</v>
      </c>
      <c r="F20" s="55">
        <v>978</v>
      </c>
      <c r="G20" s="55">
        <v>937</v>
      </c>
      <c r="H20" s="55">
        <v>916</v>
      </c>
      <c r="I20" s="55">
        <v>899</v>
      </c>
      <c r="J20" s="55">
        <v>911</v>
      </c>
      <c r="K20" s="55">
        <v>892</v>
      </c>
      <c r="L20" s="106">
        <v>880</v>
      </c>
      <c r="M20" s="82">
        <v>878</v>
      </c>
      <c r="N20" s="142">
        <v>884</v>
      </c>
      <c r="O20" s="142">
        <v>891</v>
      </c>
    </row>
    <row r="21" spans="1:16" x14ac:dyDescent="0.3">
      <c r="A21" s="54">
        <v>1929</v>
      </c>
      <c r="B21" s="54" t="s">
        <v>53</v>
      </c>
      <c r="C21" s="55"/>
      <c r="D21" s="55">
        <v>1014</v>
      </c>
      <c r="E21" s="55">
        <v>996</v>
      </c>
      <c r="F21" s="55">
        <v>962</v>
      </c>
      <c r="G21" s="55">
        <v>937</v>
      </c>
      <c r="H21" s="55">
        <v>942</v>
      </c>
      <c r="I21" s="55">
        <v>926</v>
      </c>
      <c r="J21" s="55">
        <v>907</v>
      </c>
      <c r="K21" s="55">
        <v>887</v>
      </c>
      <c r="L21" s="106">
        <v>924</v>
      </c>
      <c r="M21" s="82">
        <v>918</v>
      </c>
      <c r="N21" s="142">
        <v>905</v>
      </c>
      <c r="O21" s="142">
        <v>895</v>
      </c>
    </row>
    <row r="22" spans="1:16" x14ac:dyDescent="0.3">
      <c r="A22" s="54">
        <v>1931</v>
      </c>
      <c r="B22" s="54" t="s">
        <v>56</v>
      </c>
      <c r="C22" s="55"/>
      <c r="D22" s="55">
        <v>11033</v>
      </c>
      <c r="E22" s="55">
        <v>11051</v>
      </c>
      <c r="F22" s="55">
        <v>11027</v>
      </c>
      <c r="G22" s="55">
        <v>11160</v>
      </c>
      <c r="H22" s="55">
        <v>11207</v>
      </c>
      <c r="I22" s="55">
        <v>11243</v>
      </c>
      <c r="J22" s="55">
        <v>11294</v>
      </c>
      <c r="K22" s="55">
        <v>11345</v>
      </c>
      <c r="L22" s="106">
        <v>11455</v>
      </c>
      <c r="M22" s="82">
        <v>11557</v>
      </c>
      <c r="N22" s="142">
        <v>11535</v>
      </c>
      <c r="O22" s="142">
        <v>11606</v>
      </c>
    </row>
    <row r="23" spans="1:16" x14ac:dyDescent="0.3">
      <c r="A23" s="54">
        <v>1933</v>
      </c>
      <c r="B23" s="54" t="s">
        <v>60</v>
      </c>
      <c r="C23" s="55"/>
      <c r="D23" s="55">
        <v>5559</v>
      </c>
      <c r="E23" s="55">
        <v>5569</v>
      </c>
      <c r="F23" s="55">
        <v>5569</v>
      </c>
      <c r="G23" s="55">
        <v>5529</v>
      </c>
      <c r="H23" s="55">
        <v>5497</v>
      </c>
      <c r="I23" s="55">
        <v>5515</v>
      </c>
      <c r="J23" s="55">
        <v>5517</v>
      </c>
      <c r="K23" s="55">
        <v>5502</v>
      </c>
      <c r="L23" s="106">
        <v>5562</v>
      </c>
      <c r="M23" s="82">
        <v>5593</v>
      </c>
      <c r="N23" s="142">
        <v>5720</v>
      </c>
      <c r="O23" s="142">
        <v>5713</v>
      </c>
    </row>
    <row r="24" spans="1:16" x14ac:dyDescent="0.3">
      <c r="A24" s="54">
        <v>1936</v>
      </c>
      <c r="B24" s="54" t="s">
        <v>62</v>
      </c>
      <c r="C24" s="55"/>
      <c r="D24" s="55">
        <v>2372</v>
      </c>
      <c r="E24" s="55">
        <v>2369</v>
      </c>
      <c r="F24" s="55">
        <v>2344</v>
      </c>
      <c r="G24" s="55">
        <v>2404</v>
      </c>
      <c r="H24" s="55">
        <v>2383</v>
      </c>
      <c r="I24" s="55">
        <v>2371</v>
      </c>
      <c r="J24" s="55">
        <v>2357</v>
      </c>
      <c r="K24" s="55">
        <v>2355</v>
      </c>
      <c r="L24" s="106">
        <v>2317</v>
      </c>
      <c r="M24" s="82">
        <v>2334</v>
      </c>
      <c r="N24" s="142">
        <v>2289</v>
      </c>
      <c r="O24" s="142">
        <v>2267</v>
      </c>
    </row>
    <row r="25" spans="1:16" x14ac:dyDescent="0.3">
      <c r="A25" s="54">
        <v>1938</v>
      </c>
      <c r="B25" s="54" t="s">
        <v>66</v>
      </c>
      <c r="C25" s="55"/>
      <c r="D25" s="55">
        <v>3158</v>
      </c>
      <c r="E25" s="55">
        <v>3161</v>
      </c>
      <c r="F25" s="55">
        <v>3199</v>
      </c>
      <c r="G25" s="55">
        <v>3208</v>
      </c>
      <c r="H25" s="55">
        <v>3166</v>
      </c>
      <c r="I25" s="55">
        <v>3152</v>
      </c>
      <c r="J25" s="55">
        <v>3086</v>
      </c>
      <c r="K25" s="55">
        <v>3028</v>
      </c>
      <c r="L25" s="106">
        <v>3013</v>
      </c>
      <c r="M25" s="82">
        <v>2992</v>
      </c>
      <c r="N25" s="142">
        <v>2922</v>
      </c>
      <c r="O25" s="142">
        <v>2907</v>
      </c>
    </row>
    <row r="26" spans="1:16" x14ac:dyDescent="0.3">
      <c r="A26" s="54">
        <v>1939</v>
      </c>
      <c r="B26" s="54" t="s">
        <v>70</v>
      </c>
      <c r="C26" s="55"/>
      <c r="D26" s="55">
        <v>1934</v>
      </c>
      <c r="E26" s="55">
        <v>1932</v>
      </c>
      <c r="F26" s="55">
        <v>1911</v>
      </c>
      <c r="G26" s="55">
        <v>1893</v>
      </c>
      <c r="H26" s="55">
        <v>1869</v>
      </c>
      <c r="I26" s="55">
        <v>1888</v>
      </c>
      <c r="J26" s="55">
        <v>1894</v>
      </c>
      <c r="K26" s="55">
        <v>1909</v>
      </c>
      <c r="L26" s="106">
        <v>1942</v>
      </c>
      <c r="M26" s="82">
        <v>1941</v>
      </c>
      <c r="N26" s="142">
        <v>1898</v>
      </c>
      <c r="O26" s="142">
        <v>1885</v>
      </c>
    </row>
    <row r="27" spans="1:16" x14ac:dyDescent="0.3">
      <c r="A27" s="54">
        <v>1940</v>
      </c>
      <c r="B27" s="54" t="s">
        <v>95</v>
      </c>
      <c r="C27" s="55"/>
      <c r="D27" s="55">
        <v>2288</v>
      </c>
      <c r="E27" s="55">
        <v>2261</v>
      </c>
      <c r="F27" s="55">
        <v>2220</v>
      </c>
      <c r="G27" s="55">
        <v>2248</v>
      </c>
      <c r="H27" s="55">
        <v>2236</v>
      </c>
      <c r="I27" s="55">
        <v>2207</v>
      </c>
      <c r="J27" s="55">
        <v>2185</v>
      </c>
      <c r="K27" s="55">
        <v>2210</v>
      </c>
      <c r="L27" s="106">
        <v>2208</v>
      </c>
      <c r="M27" s="82">
        <v>2221</v>
      </c>
      <c r="N27" s="142">
        <v>2182</v>
      </c>
      <c r="O27" s="142">
        <v>2186</v>
      </c>
    </row>
    <row r="28" spans="1:16" x14ac:dyDescent="0.3">
      <c r="A28" s="54">
        <v>1941</v>
      </c>
      <c r="B28" s="54" t="s">
        <v>77</v>
      </c>
      <c r="C28" s="55"/>
      <c r="D28" s="55">
        <v>3001</v>
      </c>
      <c r="E28" s="55">
        <v>2971</v>
      </c>
      <c r="F28" s="55">
        <v>2966</v>
      </c>
      <c r="G28" s="55">
        <v>2934</v>
      </c>
      <c r="H28" s="55">
        <v>2897</v>
      </c>
      <c r="I28" s="55">
        <v>2881</v>
      </c>
      <c r="J28" s="55">
        <v>2885</v>
      </c>
      <c r="K28" s="55">
        <v>2880</v>
      </c>
      <c r="L28" s="106">
        <v>2905</v>
      </c>
      <c r="M28" s="82">
        <v>2881</v>
      </c>
      <c r="N28" s="142">
        <v>2895</v>
      </c>
      <c r="O28" s="142">
        <v>2903</v>
      </c>
    </row>
    <row r="29" spans="1:16" x14ac:dyDescent="0.3">
      <c r="A29" s="54">
        <v>1942</v>
      </c>
      <c r="B29" s="54" t="s">
        <v>81</v>
      </c>
      <c r="C29" s="55"/>
      <c r="D29" s="55">
        <v>4743</v>
      </c>
      <c r="E29" s="55">
        <v>4772</v>
      </c>
      <c r="F29" s="55">
        <v>4699</v>
      </c>
      <c r="G29" s="55">
        <v>4665</v>
      </c>
      <c r="H29" s="55">
        <v>4694</v>
      </c>
      <c r="I29" s="55">
        <v>4757</v>
      </c>
      <c r="J29" s="55">
        <v>4805</v>
      </c>
      <c r="K29" s="55">
        <v>4807</v>
      </c>
      <c r="L29" s="106">
        <v>4850</v>
      </c>
      <c r="M29" s="82">
        <v>4854</v>
      </c>
      <c r="N29" s="142">
        <v>4882</v>
      </c>
      <c r="O29" s="142">
        <v>4902</v>
      </c>
    </row>
    <row r="30" spans="1:16" x14ac:dyDescent="0.3">
      <c r="A30" s="54">
        <v>1943</v>
      </c>
      <c r="B30" s="54" t="s">
        <v>84</v>
      </c>
      <c r="C30" s="55"/>
      <c r="D30" s="55">
        <v>1401</v>
      </c>
      <c r="E30" s="55">
        <v>1387</v>
      </c>
      <c r="F30" s="55">
        <v>1351</v>
      </c>
      <c r="G30" s="55">
        <v>1348</v>
      </c>
      <c r="H30" s="55">
        <v>1330</v>
      </c>
      <c r="I30" s="55">
        <v>1316</v>
      </c>
      <c r="J30" s="55">
        <v>1294</v>
      </c>
      <c r="K30" s="55">
        <v>1284</v>
      </c>
      <c r="L30" s="106">
        <v>1245</v>
      </c>
      <c r="M30" s="82">
        <v>1234</v>
      </c>
      <c r="N30" s="142">
        <v>1226</v>
      </c>
      <c r="O30" s="142">
        <v>1234</v>
      </c>
    </row>
    <row r="31" spans="1:16" x14ac:dyDescent="0.3">
      <c r="A31" s="56"/>
      <c r="B31" s="53" t="s">
        <v>88</v>
      </c>
      <c r="C31" s="57"/>
      <c r="D31" s="57">
        <f t="shared" ref="D31:K31" si="0">SUM(D7:D30)</f>
        <v>152725</v>
      </c>
      <c r="E31" s="57">
        <f t="shared" si="0"/>
        <v>153585</v>
      </c>
      <c r="F31" s="57">
        <f t="shared" si="0"/>
        <v>154136</v>
      </c>
      <c r="G31" s="57">
        <f t="shared" si="0"/>
        <v>154642</v>
      </c>
      <c r="H31" s="57">
        <f t="shared" si="0"/>
        <v>155553</v>
      </c>
      <c r="I31" s="57">
        <f t="shared" si="0"/>
        <v>156494</v>
      </c>
      <c r="J31" s="57">
        <f t="shared" si="0"/>
        <v>157554</v>
      </c>
      <c r="K31" s="57">
        <f t="shared" si="0"/>
        <v>158650</v>
      </c>
      <c r="L31" s="60">
        <v>160418</v>
      </c>
      <c r="M31" s="83">
        <f>SUM(M7:M30)</f>
        <v>162050</v>
      </c>
      <c r="N31" s="143">
        <f t="shared" ref="N31:O31" si="1">SUM(N7:N30)</f>
        <v>163453</v>
      </c>
      <c r="O31" s="144">
        <f t="shared" si="1"/>
        <v>163800</v>
      </c>
      <c r="P31" s="59" t="s">
        <v>264</v>
      </c>
    </row>
    <row r="32" spans="1:16" x14ac:dyDescent="0.3">
      <c r="A32" s="56"/>
      <c r="B32" s="53" t="s">
        <v>90</v>
      </c>
      <c r="C32" s="58"/>
      <c r="D32" s="58">
        <v>4606003</v>
      </c>
      <c r="E32" s="58">
        <v>4640219</v>
      </c>
      <c r="F32" s="58">
        <v>4681134</v>
      </c>
      <c r="G32" s="58">
        <v>4737171</v>
      </c>
      <c r="H32" s="58">
        <v>4799252</v>
      </c>
      <c r="I32" s="58">
        <v>4858199</v>
      </c>
      <c r="J32" s="58">
        <v>4920305</v>
      </c>
      <c r="K32" s="58">
        <v>4985870</v>
      </c>
      <c r="L32" s="61">
        <v>5051709</v>
      </c>
      <c r="M32" s="83">
        <v>5109056</v>
      </c>
      <c r="N32" s="143">
        <v>5165802</v>
      </c>
      <c r="O32" s="143">
        <v>5189435</v>
      </c>
    </row>
    <row r="33" spans="2:14" x14ac:dyDescent="0.3">
      <c r="B33" s="7"/>
      <c r="M33" s="7"/>
    </row>
    <row r="34" spans="2:14" x14ac:dyDescent="0.3">
      <c r="N34" s="59" t="s">
        <v>264</v>
      </c>
    </row>
  </sheetData>
  <pageMargins left="0.7" right="0.7" top="0.75" bottom="0.75" header="0.3" footer="0.3"/>
  <pageSetup paperSize="9" scale="6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3">
    <pageSetUpPr fitToPage="1"/>
  </sheetPr>
  <dimension ref="A1:X30"/>
  <sheetViews>
    <sheetView workbookViewId="0">
      <selection activeCell="F30" sqref="F30"/>
    </sheetView>
  </sheetViews>
  <sheetFormatPr baseColWidth="10" defaultRowHeight="14.4" x14ac:dyDescent="0.3"/>
  <cols>
    <col min="2" max="2" width="14.6640625" customWidth="1"/>
    <col min="3" max="3" width="14.5546875" customWidth="1"/>
    <col min="4" max="4" width="16.5546875" customWidth="1"/>
    <col min="5" max="5" width="6.109375" customWidth="1"/>
    <col min="6" max="6" width="18" customWidth="1"/>
    <col min="7" max="7" width="4.5546875" customWidth="1"/>
    <col min="8" max="8" width="27.88671875" bestFit="1" customWidth="1"/>
    <col min="9" max="19" width="0" hidden="1" customWidth="1"/>
    <col min="20" max="20" width="29.88671875" hidden="1" customWidth="1"/>
    <col min="22" max="22" width="19.109375" customWidth="1"/>
    <col min="23" max="23" width="20.44140625" customWidth="1"/>
    <col min="24" max="24" width="18.33203125" customWidth="1"/>
  </cols>
  <sheetData>
    <row r="1" spans="1:24" x14ac:dyDescent="0.3">
      <c r="J1" s="2" t="s">
        <v>94</v>
      </c>
      <c r="K1" s="1"/>
      <c r="L1" s="1"/>
      <c r="M1" s="1"/>
      <c r="N1" s="1"/>
      <c r="O1" s="1"/>
      <c r="P1" s="1"/>
      <c r="Q1" s="1"/>
      <c r="R1" s="1"/>
      <c r="S1" s="1"/>
      <c r="T1" s="1"/>
    </row>
    <row r="2" spans="1:24" ht="79.8" x14ac:dyDescent="0.3">
      <c r="A2" s="4" t="s">
        <v>0</v>
      </c>
      <c r="B2" s="85" t="s">
        <v>1</v>
      </c>
      <c r="C2" s="86" t="s">
        <v>2</v>
      </c>
      <c r="D2" s="86" t="s">
        <v>3</v>
      </c>
      <c r="E2" s="86" t="s">
        <v>103</v>
      </c>
      <c r="F2" s="86" t="s">
        <v>4</v>
      </c>
      <c r="G2" s="86" t="s">
        <v>104</v>
      </c>
      <c r="H2" s="86" t="s">
        <v>478</v>
      </c>
      <c r="I2" s="87"/>
      <c r="J2" s="88" t="s">
        <v>257</v>
      </c>
      <c r="K2" s="88" t="s">
        <v>91</v>
      </c>
      <c r="L2" s="88" t="s">
        <v>13</v>
      </c>
      <c r="M2" s="88" t="s">
        <v>17</v>
      </c>
      <c r="N2" s="88" t="s">
        <v>80</v>
      </c>
      <c r="O2" s="88" t="s">
        <v>107</v>
      </c>
      <c r="P2" s="88" t="s">
        <v>258</v>
      </c>
      <c r="Q2" s="88" t="s">
        <v>93</v>
      </c>
      <c r="R2" s="88" t="s">
        <v>108</v>
      </c>
      <c r="S2" s="88" t="s">
        <v>92</v>
      </c>
      <c r="T2" s="92" t="s">
        <v>275</v>
      </c>
      <c r="U2" s="88"/>
      <c r="V2" s="95" t="s">
        <v>283</v>
      </c>
      <c r="W2" s="95" t="s">
        <v>284</v>
      </c>
      <c r="X2" s="95" t="s">
        <v>285</v>
      </c>
    </row>
    <row r="3" spans="1:24" x14ac:dyDescent="0.3">
      <c r="A3" s="5">
        <v>1901</v>
      </c>
      <c r="B3" s="87" t="s">
        <v>269</v>
      </c>
      <c r="C3" s="89" t="s">
        <v>182</v>
      </c>
      <c r="D3" s="87" t="s">
        <v>7</v>
      </c>
      <c r="E3" s="87" t="s">
        <v>263</v>
      </c>
      <c r="F3" s="87" t="s">
        <v>8</v>
      </c>
      <c r="G3" s="87" t="s">
        <v>253</v>
      </c>
      <c r="H3" s="87" t="s">
        <v>9</v>
      </c>
      <c r="I3" s="87"/>
      <c r="J3" s="90">
        <v>10</v>
      </c>
      <c r="K3" s="90">
        <v>5</v>
      </c>
      <c r="L3" s="90">
        <v>12</v>
      </c>
      <c r="M3" s="90">
        <v>3</v>
      </c>
      <c r="N3" s="90">
        <v>1</v>
      </c>
      <c r="O3" s="90">
        <v>2</v>
      </c>
      <c r="P3" s="90">
        <v>1</v>
      </c>
      <c r="Q3" s="90">
        <v>1</v>
      </c>
      <c r="R3" s="90"/>
      <c r="S3" s="90"/>
      <c r="T3" s="93"/>
      <c r="U3" s="88">
        <f t="shared" ref="U3:U27" si="0">SUM(J3:T3)</f>
        <v>35</v>
      </c>
      <c r="V3" s="96" t="s">
        <v>303</v>
      </c>
      <c r="W3" s="96" t="s">
        <v>328</v>
      </c>
      <c r="X3" s="96" t="s">
        <v>286</v>
      </c>
    </row>
    <row r="4" spans="1:24" x14ac:dyDescent="0.3">
      <c r="A4" s="5">
        <v>1902</v>
      </c>
      <c r="B4" s="87" t="s">
        <v>10</v>
      </c>
      <c r="C4" s="89" t="s">
        <v>182</v>
      </c>
      <c r="D4" s="87" t="s">
        <v>11</v>
      </c>
      <c r="E4" s="87" t="s">
        <v>248</v>
      </c>
      <c r="F4" s="87" t="s">
        <v>12</v>
      </c>
      <c r="G4" s="87" t="s">
        <v>254</v>
      </c>
      <c r="H4" s="87" t="s">
        <v>479</v>
      </c>
      <c r="I4" s="87"/>
      <c r="J4" s="90">
        <v>11</v>
      </c>
      <c r="K4" s="90">
        <v>16</v>
      </c>
      <c r="L4" s="90">
        <v>6</v>
      </c>
      <c r="M4" s="90">
        <v>1</v>
      </c>
      <c r="N4" s="90">
        <v>2</v>
      </c>
      <c r="O4" s="90">
        <v>2</v>
      </c>
      <c r="P4" s="90">
        <v>1</v>
      </c>
      <c r="Q4" s="90">
        <v>3</v>
      </c>
      <c r="R4" s="90">
        <v>1</v>
      </c>
      <c r="S4" s="90"/>
      <c r="T4" s="93"/>
      <c r="U4" s="88">
        <f t="shared" si="0"/>
        <v>43</v>
      </c>
      <c r="V4" s="96" t="s">
        <v>304</v>
      </c>
      <c r="W4" s="96" t="s">
        <v>329</v>
      </c>
      <c r="X4" s="96">
        <v>92624836</v>
      </c>
    </row>
    <row r="5" spans="1:24" s="72" customFormat="1" x14ac:dyDescent="0.3">
      <c r="A5" s="5">
        <v>1903</v>
      </c>
      <c r="B5" s="87" t="s">
        <v>6</v>
      </c>
      <c r="C5" s="89" t="s">
        <v>182</v>
      </c>
      <c r="D5" s="87" t="s">
        <v>7</v>
      </c>
      <c r="E5" s="87" t="s">
        <v>263</v>
      </c>
      <c r="F5" s="87" t="s">
        <v>8</v>
      </c>
      <c r="G5" s="87" t="s">
        <v>253</v>
      </c>
      <c r="H5" s="87" t="s">
        <v>9</v>
      </c>
      <c r="I5" s="87"/>
      <c r="J5" s="90">
        <v>10</v>
      </c>
      <c r="K5" s="90">
        <v>5</v>
      </c>
      <c r="L5" s="90">
        <v>12</v>
      </c>
      <c r="M5" s="90">
        <v>3</v>
      </c>
      <c r="N5" s="90">
        <v>1</v>
      </c>
      <c r="O5" s="90">
        <v>2</v>
      </c>
      <c r="P5" s="90">
        <v>1</v>
      </c>
      <c r="Q5" s="90">
        <v>1</v>
      </c>
      <c r="R5" s="90"/>
      <c r="S5" s="90"/>
      <c r="T5" s="93">
        <v>2</v>
      </c>
      <c r="U5" s="88">
        <f t="shared" si="0"/>
        <v>37</v>
      </c>
      <c r="V5" s="96" t="s">
        <v>303</v>
      </c>
      <c r="W5" s="96" t="s">
        <v>328</v>
      </c>
      <c r="X5" s="96" t="s">
        <v>286</v>
      </c>
    </row>
    <row r="6" spans="1:24" x14ac:dyDescent="0.3">
      <c r="A6" s="5">
        <v>1911</v>
      </c>
      <c r="B6" s="87" t="s">
        <v>14</v>
      </c>
      <c r="C6" s="89" t="s">
        <v>179</v>
      </c>
      <c r="D6" s="87" t="s">
        <v>15</v>
      </c>
      <c r="E6" s="87" t="s">
        <v>263</v>
      </c>
      <c r="F6" s="87" t="s">
        <v>16</v>
      </c>
      <c r="G6" s="87" t="s">
        <v>249</v>
      </c>
      <c r="H6" s="87" t="s">
        <v>20</v>
      </c>
      <c r="I6" s="87"/>
      <c r="J6" s="90">
        <v>8</v>
      </c>
      <c r="K6" s="90">
        <v>3</v>
      </c>
      <c r="L6" s="90">
        <v>4</v>
      </c>
      <c r="M6" s="90">
        <v>3</v>
      </c>
      <c r="N6" s="90">
        <v>2</v>
      </c>
      <c r="O6" s="90">
        <v>3</v>
      </c>
      <c r="P6" s="90"/>
      <c r="Q6" s="90"/>
      <c r="R6" s="90"/>
      <c r="S6" s="90"/>
      <c r="T6" s="93"/>
      <c r="U6" s="88">
        <f t="shared" si="0"/>
        <v>23</v>
      </c>
      <c r="V6" s="96" t="s">
        <v>305</v>
      </c>
      <c r="W6" s="96">
        <v>41267977</v>
      </c>
      <c r="X6" s="96" t="s">
        <v>287</v>
      </c>
    </row>
    <row r="7" spans="1:24" x14ac:dyDescent="0.3">
      <c r="A7" s="5">
        <v>1913</v>
      </c>
      <c r="B7" s="87" t="s">
        <v>18</v>
      </c>
      <c r="C7" s="89" t="s">
        <v>176</v>
      </c>
      <c r="D7" s="87" t="s">
        <v>19</v>
      </c>
      <c r="E7" s="87" t="s">
        <v>248</v>
      </c>
      <c r="F7" s="87" t="s">
        <v>333</v>
      </c>
      <c r="G7" s="87" t="s">
        <v>253</v>
      </c>
      <c r="H7" s="87" t="s">
        <v>289</v>
      </c>
      <c r="I7" s="87"/>
      <c r="J7" s="90">
        <v>6</v>
      </c>
      <c r="K7" s="90">
        <v>6</v>
      </c>
      <c r="L7" s="90"/>
      <c r="M7" s="90"/>
      <c r="N7" s="90"/>
      <c r="O7" s="90">
        <v>2</v>
      </c>
      <c r="P7" s="90"/>
      <c r="Q7" s="90">
        <v>1</v>
      </c>
      <c r="R7" s="90"/>
      <c r="S7" s="90"/>
      <c r="T7" s="93"/>
      <c r="U7" s="88">
        <f t="shared" si="0"/>
        <v>15</v>
      </c>
      <c r="V7" s="96" t="s">
        <v>306</v>
      </c>
      <c r="W7" s="96">
        <v>90175064</v>
      </c>
      <c r="X7" s="96" t="s">
        <v>288</v>
      </c>
    </row>
    <row r="8" spans="1:24" x14ac:dyDescent="0.3">
      <c r="A8" s="5">
        <v>1917</v>
      </c>
      <c r="B8" s="87" t="s">
        <v>21</v>
      </c>
      <c r="C8" s="89" t="s">
        <v>179</v>
      </c>
      <c r="D8" s="87" t="s">
        <v>22</v>
      </c>
      <c r="E8" s="87" t="s">
        <v>248</v>
      </c>
      <c r="F8" s="87" t="s">
        <v>23</v>
      </c>
      <c r="G8" s="87" t="s">
        <v>249</v>
      </c>
      <c r="H8" s="87" t="s">
        <v>476</v>
      </c>
      <c r="I8" s="87"/>
      <c r="J8" s="90">
        <v>3</v>
      </c>
      <c r="K8" s="90">
        <v>4</v>
      </c>
      <c r="L8" s="90"/>
      <c r="M8" s="90">
        <v>4</v>
      </c>
      <c r="N8" s="90"/>
      <c r="O8" s="90">
        <v>1</v>
      </c>
      <c r="P8" s="90"/>
      <c r="Q8" s="90"/>
      <c r="R8" s="90"/>
      <c r="S8" s="90"/>
      <c r="T8" s="93">
        <v>7</v>
      </c>
      <c r="U8" s="88">
        <f t="shared" si="0"/>
        <v>19</v>
      </c>
      <c r="V8" s="96" t="s">
        <v>307</v>
      </c>
      <c r="W8" s="96">
        <v>95332500</v>
      </c>
      <c r="X8" s="96" t="s">
        <v>477</v>
      </c>
    </row>
    <row r="9" spans="1:24" x14ac:dyDescent="0.3">
      <c r="A9" s="5">
        <v>1919</v>
      </c>
      <c r="B9" s="87" t="s">
        <v>24</v>
      </c>
      <c r="C9" s="89" t="s">
        <v>179</v>
      </c>
      <c r="D9" s="87" t="s">
        <v>25</v>
      </c>
      <c r="E9" s="87" t="s">
        <v>249</v>
      </c>
      <c r="F9" s="87" t="s">
        <v>330</v>
      </c>
      <c r="G9" s="87" t="s">
        <v>249</v>
      </c>
      <c r="H9" s="87" t="s">
        <v>26</v>
      </c>
      <c r="I9" s="87"/>
      <c r="J9" s="90">
        <v>5</v>
      </c>
      <c r="K9" s="90"/>
      <c r="L9" s="90"/>
      <c r="M9" s="90">
        <v>9</v>
      </c>
      <c r="N9" s="90">
        <v>1</v>
      </c>
      <c r="O9" s="90"/>
      <c r="P9" s="90"/>
      <c r="Q9" s="90"/>
      <c r="R9" s="90"/>
      <c r="S9" s="90"/>
      <c r="T9" s="93"/>
      <c r="U9" s="88">
        <f t="shared" si="0"/>
        <v>15</v>
      </c>
      <c r="V9" s="96" t="s">
        <v>308</v>
      </c>
      <c r="W9" s="96">
        <v>91588501</v>
      </c>
      <c r="X9" s="96" t="s">
        <v>290</v>
      </c>
    </row>
    <row r="10" spans="1:24" x14ac:dyDescent="0.3">
      <c r="A10" s="5">
        <v>1920</v>
      </c>
      <c r="B10" s="87" t="s">
        <v>27</v>
      </c>
      <c r="C10" s="89" t="s">
        <v>179</v>
      </c>
      <c r="D10" s="87" t="s">
        <v>28</v>
      </c>
      <c r="E10" s="87" t="s">
        <v>249</v>
      </c>
      <c r="F10" s="87" t="s">
        <v>29</v>
      </c>
      <c r="G10" s="87" t="s">
        <v>248</v>
      </c>
      <c r="H10" s="87" t="s">
        <v>262</v>
      </c>
      <c r="I10" s="87"/>
      <c r="J10" s="90">
        <v>6</v>
      </c>
      <c r="K10" s="90">
        <v>3</v>
      </c>
      <c r="L10" s="90">
        <v>2</v>
      </c>
      <c r="M10" s="90">
        <v>4</v>
      </c>
      <c r="N10" s="90"/>
      <c r="O10" s="90"/>
      <c r="P10" s="90"/>
      <c r="Q10" s="90"/>
      <c r="R10" s="90"/>
      <c r="S10" s="90"/>
      <c r="T10" s="93"/>
      <c r="U10" s="88">
        <f t="shared" si="0"/>
        <v>15</v>
      </c>
      <c r="V10" s="96" t="s">
        <v>309</v>
      </c>
      <c r="W10" s="96">
        <v>48284663</v>
      </c>
      <c r="X10" s="96" t="s">
        <v>291</v>
      </c>
    </row>
    <row r="11" spans="1:24" x14ac:dyDescent="0.3">
      <c r="A11" s="5">
        <v>1922</v>
      </c>
      <c r="B11" s="87" t="s">
        <v>30</v>
      </c>
      <c r="C11" s="89" t="s">
        <v>177</v>
      </c>
      <c r="D11" s="87" t="s">
        <v>31</v>
      </c>
      <c r="E11" s="87" t="s">
        <v>263</v>
      </c>
      <c r="F11" s="87" t="s">
        <v>32</v>
      </c>
      <c r="G11" s="87" t="s">
        <v>263</v>
      </c>
      <c r="H11" s="87" t="s">
        <v>33</v>
      </c>
      <c r="I11" s="87"/>
      <c r="J11" s="90">
        <v>13</v>
      </c>
      <c r="K11" s="90">
        <v>7</v>
      </c>
      <c r="L11" s="90">
        <v>1</v>
      </c>
      <c r="M11" s="90">
        <v>3</v>
      </c>
      <c r="N11" s="90"/>
      <c r="O11" s="90">
        <v>1</v>
      </c>
      <c r="P11" s="90"/>
      <c r="Q11" s="90"/>
      <c r="R11" s="90"/>
      <c r="S11" s="90"/>
      <c r="T11" s="93"/>
      <c r="U11" s="88">
        <f t="shared" si="0"/>
        <v>25</v>
      </c>
      <c r="V11" s="96" t="s">
        <v>310</v>
      </c>
      <c r="W11" s="96">
        <v>97065155</v>
      </c>
      <c r="X11" s="96" t="s">
        <v>292</v>
      </c>
    </row>
    <row r="12" spans="1:24" x14ac:dyDescent="0.3">
      <c r="A12" s="5">
        <v>1923</v>
      </c>
      <c r="B12" s="87" t="s">
        <v>34</v>
      </c>
      <c r="C12" s="89" t="s">
        <v>378</v>
      </c>
      <c r="D12" s="87" t="s">
        <v>311</v>
      </c>
      <c r="E12" s="87" t="s">
        <v>249</v>
      </c>
      <c r="F12" s="87" t="s">
        <v>35</v>
      </c>
      <c r="G12" s="87" t="s">
        <v>248</v>
      </c>
      <c r="H12" s="87" t="s">
        <v>293</v>
      </c>
      <c r="I12" s="87"/>
      <c r="J12" s="90">
        <v>6</v>
      </c>
      <c r="K12" s="90">
        <v>1</v>
      </c>
      <c r="L12" s="90"/>
      <c r="M12" s="90">
        <v>11</v>
      </c>
      <c r="N12" s="90">
        <v>1</v>
      </c>
      <c r="O12" s="90"/>
      <c r="P12" s="90"/>
      <c r="Q12" s="90"/>
      <c r="R12" s="90"/>
      <c r="S12" s="90"/>
      <c r="T12" s="93"/>
      <c r="U12" s="88">
        <f t="shared" si="0"/>
        <v>19</v>
      </c>
      <c r="V12" s="96" t="s">
        <v>312</v>
      </c>
      <c r="W12" s="96">
        <v>91575651</v>
      </c>
      <c r="X12" s="96" t="s">
        <v>372</v>
      </c>
    </row>
    <row r="13" spans="1:24" x14ac:dyDescent="0.3">
      <c r="A13" s="5">
        <v>1924</v>
      </c>
      <c r="B13" s="87" t="s">
        <v>36</v>
      </c>
      <c r="C13" s="89" t="s">
        <v>180</v>
      </c>
      <c r="D13" s="87" t="s">
        <v>37</v>
      </c>
      <c r="E13" s="87" t="s">
        <v>248</v>
      </c>
      <c r="F13" s="87" t="s">
        <v>38</v>
      </c>
      <c r="G13" s="87" t="s">
        <v>249</v>
      </c>
      <c r="H13" s="87" t="s">
        <v>470</v>
      </c>
      <c r="I13" s="87"/>
      <c r="J13" s="90">
        <v>10</v>
      </c>
      <c r="K13" s="90">
        <v>5</v>
      </c>
      <c r="L13" s="90">
        <v>3</v>
      </c>
      <c r="M13" s="90">
        <v>3</v>
      </c>
      <c r="N13" s="90">
        <v>1</v>
      </c>
      <c r="O13" s="90">
        <v>3</v>
      </c>
      <c r="P13" s="90"/>
      <c r="Q13" s="90"/>
      <c r="R13" s="90"/>
      <c r="S13" s="90"/>
      <c r="T13" s="93"/>
      <c r="U13" s="88">
        <f t="shared" si="0"/>
        <v>25</v>
      </c>
      <c r="V13" s="96" t="s">
        <v>313</v>
      </c>
      <c r="W13" s="96" t="s">
        <v>374</v>
      </c>
      <c r="X13" s="96" t="s">
        <v>471</v>
      </c>
    </row>
    <row r="14" spans="1:24" x14ac:dyDescent="0.3">
      <c r="A14" s="5">
        <v>1925</v>
      </c>
      <c r="B14" s="87" t="s">
        <v>39</v>
      </c>
      <c r="C14" s="89" t="s">
        <v>176</v>
      </c>
      <c r="D14" s="87" t="s">
        <v>40</v>
      </c>
      <c r="E14" s="87" t="s">
        <v>263</v>
      </c>
      <c r="F14" s="87" t="s">
        <v>41</v>
      </c>
      <c r="G14" s="87" t="s">
        <v>248</v>
      </c>
      <c r="H14" s="87" t="s">
        <v>336</v>
      </c>
      <c r="I14" s="87"/>
      <c r="J14" s="90">
        <v>5</v>
      </c>
      <c r="K14" s="90">
        <v>2</v>
      </c>
      <c r="L14" s="90">
        <v>1</v>
      </c>
      <c r="M14" s="90">
        <v>1</v>
      </c>
      <c r="N14" s="90"/>
      <c r="O14" s="90"/>
      <c r="P14" s="90">
        <v>1</v>
      </c>
      <c r="Q14" s="90"/>
      <c r="R14" s="90"/>
      <c r="S14" s="90"/>
      <c r="T14" s="93">
        <v>5</v>
      </c>
      <c r="U14" s="88">
        <f t="shared" si="0"/>
        <v>15</v>
      </c>
      <c r="V14" s="96" t="s">
        <v>314</v>
      </c>
      <c r="W14" s="96">
        <v>92695884</v>
      </c>
      <c r="X14" s="96">
        <v>99204611</v>
      </c>
    </row>
    <row r="15" spans="1:24" x14ac:dyDescent="0.3">
      <c r="A15" s="5">
        <v>1926</v>
      </c>
      <c r="B15" s="87" t="s">
        <v>42</v>
      </c>
      <c r="C15" s="89" t="s">
        <v>178</v>
      </c>
      <c r="D15" s="87" t="s">
        <v>43</v>
      </c>
      <c r="E15" s="87" t="s">
        <v>263</v>
      </c>
      <c r="F15" s="87" t="s">
        <v>44</v>
      </c>
      <c r="G15" s="87" t="s">
        <v>249</v>
      </c>
      <c r="H15" s="87" t="s">
        <v>472</v>
      </c>
      <c r="I15" s="87"/>
      <c r="J15" s="90">
        <v>6</v>
      </c>
      <c r="K15" s="90">
        <v>2</v>
      </c>
      <c r="L15" s="90"/>
      <c r="M15" s="90">
        <v>3</v>
      </c>
      <c r="N15" s="90">
        <v>1</v>
      </c>
      <c r="O15" s="90"/>
      <c r="P15" s="90"/>
      <c r="Q15" s="90"/>
      <c r="R15" s="90"/>
      <c r="S15" s="90"/>
      <c r="T15" s="93">
        <v>3</v>
      </c>
      <c r="U15" s="88">
        <f t="shared" si="0"/>
        <v>15</v>
      </c>
      <c r="V15" s="96" t="s">
        <v>315</v>
      </c>
      <c r="W15" s="96">
        <v>48077036</v>
      </c>
      <c r="X15" s="96" t="s">
        <v>473</v>
      </c>
    </row>
    <row r="16" spans="1:24" x14ac:dyDescent="0.3">
      <c r="A16" s="5">
        <v>1927</v>
      </c>
      <c r="B16" s="87" t="s">
        <v>45</v>
      </c>
      <c r="C16" s="89" t="s">
        <v>178</v>
      </c>
      <c r="D16" s="87" t="s">
        <v>46</v>
      </c>
      <c r="E16" s="87" t="s">
        <v>263</v>
      </c>
      <c r="F16" s="87" t="s">
        <v>47</v>
      </c>
      <c r="G16" s="87" t="s">
        <v>248</v>
      </c>
      <c r="H16" s="87" t="s">
        <v>48</v>
      </c>
      <c r="I16" s="87"/>
      <c r="J16" s="90">
        <v>6</v>
      </c>
      <c r="K16" s="90">
        <v>3</v>
      </c>
      <c r="L16" s="90">
        <v>1</v>
      </c>
      <c r="M16" s="90">
        <v>2</v>
      </c>
      <c r="N16" s="90">
        <v>1</v>
      </c>
      <c r="O16" s="90">
        <v>1</v>
      </c>
      <c r="P16" s="90"/>
      <c r="Q16" s="90"/>
      <c r="R16" s="90"/>
      <c r="S16" s="90"/>
      <c r="T16" s="93">
        <v>3</v>
      </c>
      <c r="U16" s="88">
        <f t="shared" si="0"/>
        <v>17</v>
      </c>
      <c r="V16" s="96" t="s">
        <v>316</v>
      </c>
      <c r="W16" s="96">
        <v>47250775</v>
      </c>
      <c r="X16" s="96" t="s">
        <v>294</v>
      </c>
    </row>
    <row r="17" spans="1:24" x14ac:dyDescent="0.3">
      <c r="A17" s="5">
        <v>1928</v>
      </c>
      <c r="B17" s="87" t="s">
        <v>49</v>
      </c>
      <c r="C17" s="89" t="s">
        <v>377</v>
      </c>
      <c r="D17" s="87" t="s">
        <v>50</v>
      </c>
      <c r="E17" s="87" t="s">
        <v>263</v>
      </c>
      <c r="F17" s="87" t="s">
        <v>51</v>
      </c>
      <c r="G17" s="87" t="s">
        <v>249</v>
      </c>
      <c r="H17" s="87" t="s">
        <v>52</v>
      </c>
      <c r="I17" s="87"/>
      <c r="J17" s="90">
        <v>7</v>
      </c>
      <c r="K17" s="90"/>
      <c r="L17" s="90"/>
      <c r="M17" s="90">
        <v>4</v>
      </c>
      <c r="N17" s="90"/>
      <c r="O17" s="90"/>
      <c r="P17" s="90"/>
      <c r="Q17" s="90"/>
      <c r="R17" s="90"/>
      <c r="S17" s="90">
        <v>4</v>
      </c>
      <c r="T17" s="93"/>
      <c r="U17" s="88">
        <f t="shared" si="0"/>
        <v>15</v>
      </c>
      <c r="V17" s="96" t="s">
        <v>317</v>
      </c>
      <c r="W17" s="96">
        <v>90618018</v>
      </c>
      <c r="X17" s="96" t="s">
        <v>295</v>
      </c>
    </row>
    <row r="18" spans="1:24" x14ac:dyDescent="0.3">
      <c r="A18" s="5">
        <v>1929</v>
      </c>
      <c r="B18" s="87" t="s">
        <v>53</v>
      </c>
      <c r="C18" s="89" t="s">
        <v>178</v>
      </c>
      <c r="D18" s="87" t="s">
        <v>54</v>
      </c>
      <c r="E18" s="87" t="s">
        <v>250</v>
      </c>
      <c r="F18" s="87" t="s">
        <v>55</v>
      </c>
      <c r="G18" s="87" t="s">
        <v>255</v>
      </c>
      <c r="H18" s="87" t="s">
        <v>271</v>
      </c>
      <c r="I18" s="87"/>
      <c r="J18" s="90">
        <v>6</v>
      </c>
      <c r="K18" s="90"/>
      <c r="L18" s="90">
        <v>1</v>
      </c>
      <c r="M18" s="90"/>
      <c r="N18" s="90"/>
      <c r="O18" s="90"/>
      <c r="P18" s="90"/>
      <c r="Q18" s="90"/>
      <c r="R18" s="90"/>
      <c r="S18" s="90"/>
      <c r="T18" s="93">
        <v>8</v>
      </c>
      <c r="U18" s="88">
        <f t="shared" si="0"/>
        <v>15</v>
      </c>
      <c r="V18" s="96" t="s">
        <v>318</v>
      </c>
      <c r="W18" s="96" t="s">
        <v>373</v>
      </c>
      <c r="X18" s="96" t="s">
        <v>296</v>
      </c>
    </row>
    <row r="19" spans="1:24" x14ac:dyDescent="0.3">
      <c r="A19" s="5">
        <v>1931</v>
      </c>
      <c r="B19" s="87" t="s">
        <v>56</v>
      </c>
      <c r="C19" s="89" t="s">
        <v>181</v>
      </c>
      <c r="D19" s="87" t="s">
        <v>57</v>
      </c>
      <c r="E19" s="87" t="s">
        <v>248</v>
      </c>
      <c r="F19" s="87" t="s">
        <v>58</v>
      </c>
      <c r="G19" s="87" t="s">
        <v>249</v>
      </c>
      <c r="H19" s="87" t="s">
        <v>59</v>
      </c>
      <c r="I19" s="87"/>
      <c r="J19" s="90">
        <v>7</v>
      </c>
      <c r="K19" s="90">
        <v>8</v>
      </c>
      <c r="L19" s="90">
        <v>6</v>
      </c>
      <c r="M19" s="90">
        <v>3</v>
      </c>
      <c r="N19" s="90">
        <v>1</v>
      </c>
      <c r="O19" s="90">
        <v>1</v>
      </c>
      <c r="P19" s="90">
        <v>1</v>
      </c>
      <c r="Q19" s="90"/>
      <c r="R19" s="90"/>
      <c r="S19" s="90"/>
      <c r="T19" s="93">
        <v>4</v>
      </c>
      <c r="U19" s="88">
        <f t="shared" si="0"/>
        <v>31</v>
      </c>
      <c r="V19" s="96" t="s">
        <v>319</v>
      </c>
      <c r="W19" s="96">
        <v>97960201</v>
      </c>
      <c r="X19" s="96" t="s">
        <v>297</v>
      </c>
    </row>
    <row r="20" spans="1:24" x14ac:dyDescent="0.3">
      <c r="A20" s="5">
        <v>1933</v>
      </c>
      <c r="B20" s="87" t="s">
        <v>60</v>
      </c>
      <c r="C20" s="89" t="s">
        <v>180</v>
      </c>
      <c r="D20" s="87" t="s">
        <v>61</v>
      </c>
      <c r="E20" s="87" t="s">
        <v>248</v>
      </c>
      <c r="F20" s="87" t="s">
        <v>334</v>
      </c>
      <c r="G20" s="87" t="s">
        <v>249</v>
      </c>
      <c r="I20" s="87"/>
      <c r="J20" s="90">
        <v>12</v>
      </c>
      <c r="K20" s="90">
        <v>6</v>
      </c>
      <c r="L20" s="90">
        <v>4</v>
      </c>
      <c r="M20" s="90">
        <v>3</v>
      </c>
      <c r="N20" s="90">
        <v>1</v>
      </c>
      <c r="O20" s="90"/>
      <c r="P20" s="90">
        <v>1</v>
      </c>
      <c r="Q20" s="90"/>
      <c r="R20" s="90"/>
      <c r="S20" s="90"/>
      <c r="T20" s="93"/>
      <c r="U20" s="88">
        <f t="shared" si="0"/>
        <v>27</v>
      </c>
      <c r="V20" s="96" t="s">
        <v>320</v>
      </c>
      <c r="W20" s="96" t="s">
        <v>335</v>
      </c>
    </row>
    <row r="21" spans="1:24" x14ac:dyDescent="0.3">
      <c r="A21" s="5">
        <v>1936</v>
      </c>
      <c r="B21" s="87" t="s">
        <v>62</v>
      </c>
      <c r="C21" s="89" t="s">
        <v>179</v>
      </c>
      <c r="D21" s="87" t="s">
        <v>63</v>
      </c>
      <c r="E21" s="87" t="s">
        <v>251</v>
      </c>
      <c r="F21" s="87" t="s">
        <v>64</v>
      </c>
      <c r="G21" s="87" t="s">
        <v>254</v>
      </c>
      <c r="H21" s="87" t="s">
        <v>65</v>
      </c>
      <c r="I21" s="87"/>
      <c r="J21" s="90">
        <v>6</v>
      </c>
      <c r="K21" s="90"/>
      <c r="L21" s="90">
        <v>4</v>
      </c>
      <c r="M21" s="90">
        <v>2</v>
      </c>
      <c r="N21" s="90">
        <v>1</v>
      </c>
      <c r="O21" s="90"/>
      <c r="P21" s="90"/>
      <c r="Q21" s="90"/>
      <c r="R21" s="90"/>
      <c r="S21" s="90">
        <v>2</v>
      </c>
      <c r="T21" s="93">
        <v>2</v>
      </c>
      <c r="U21" s="88">
        <f t="shared" si="0"/>
        <v>17</v>
      </c>
      <c r="V21" s="96" t="s">
        <v>321</v>
      </c>
      <c r="W21" s="96">
        <v>90012103</v>
      </c>
      <c r="X21" s="96" t="s">
        <v>298</v>
      </c>
    </row>
    <row r="22" spans="1:24" x14ac:dyDescent="0.3">
      <c r="A22" s="5">
        <v>1938</v>
      </c>
      <c r="B22" s="87" t="s">
        <v>66</v>
      </c>
      <c r="C22" s="89" t="s">
        <v>179</v>
      </c>
      <c r="D22" s="87" t="s">
        <v>67</v>
      </c>
      <c r="E22" s="87" t="s">
        <v>263</v>
      </c>
      <c r="F22" s="87" t="s">
        <v>68</v>
      </c>
      <c r="G22" s="87" t="s">
        <v>249</v>
      </c>
      <c r="H22" s="87" t="s">
        <v>69</v>
      </c>
      <c r="I22" s="87"/>
      <c r="J22" s="90">
        <v>8</v>
      </c>
      <c r="K22" s="90">
        <v>3</v>
      </c>
      <c r="L22" s="90">
        <v>3</v>
      </c>
      <c r="M22" s="90">
        <v>2</v>
      </c>
      <c r="N22" s="90"/>
      <c r="O22" s="90"/>
      <c r="P22" s="90">
        <v>2</v>
      </c>
      <c r="Q22" s="90"/>
      <c r="R22" s="90"/>
      <c r="S22" s="90"/>
      <c r="T22" s="93">
        <v>1</v>
      </c>
      <c r="U22" s="88">
        <f t="shared" si="0"/>
        <v>19</v>
      </c>
      <c r="V22" s="96" t="s">
        <v>322</v>
      </c>
      <c r="W22" s="96">
        <v>90119034</v>
      </c>
      <c r="X22" s="96" t="s">
        <v>299</v>
      </c>
    </row>
    <row r="23" spans="1:24" x14ac:dyDescent="0.3">
      <c r="A23" s="5">
        <v>1939</v>
      </c>
      <c r="B23" s="87" t="s">
        <v>70</v>
      </c>
      <c r="C23" s="89" t="s">
        <v>179</v>
      </c>
      <c r="D23" s="87" t="s">
        <v>71</v>
      </c>
      <c r="E23" s="87" t="s">
        <v>263</v>
      </c>
      <c r="F23" s="87" t="s">
        <v>72</v>
      </c>
      <c r="G23" s="87" t="s">
        <v>263</v>
      </c>
      <c r="H23" s="87" t="s">
        <v>474</v>
      </c>
      <c r="I23" s="87"/>
      <c r="J23" s="90">
        <v>7</v>
      </c>
      <c r="K23" s="90">
        <v>3</v>
      </c>
      <c r="L23" s="90">
        <v>2</v>
      </c>
      <c r="M23" s="90">
        <v>3</v>
      </c>
      <c r="N23" s="90"/>
      <c r="O23" s="90"/>
      <c r="P23" s="90"/>
      <c r="Q23" s="90"/>
      <c r="R23" s="90"/>
      <c r="S23" s="90"/>
      <c r="T23" s="93">
        <v>2</v>
      </c>
      <c r="U23" s="88">
        <f t="shared" si="0"/>
        <v>17</v>
      </c>
      <c r="V23" s="96" t="s">
        <v>323</v>
      </c>
      <c r="W23" s="96" t="s">
        <v>331</v>
      </c>
      <c r="X23" s="96" t="s">
        <v>475</v>
      </c>
    </row>
    <row r="24" spans="1:24" x14ac:dyDescent="0.3">
      <c r="A24" s="5">
        <v>1940</v>
      </c>
      <c r="B24" s="87" t="s">
        <v>73</v>
      </c>
      <c r="C24" s="89" t="s">
        <v>179</v>
      </c>
      <c r="D24" s="87" t="s">
        <v>74</v>
      </c>
      <c r="E24" s="87" t="s">
        <v>263</v>
      </c>
      <c r="F24" s="87" t="s">
        <v>75</v>
      </c>
      <c r="G24" s="87" t="s">
        <v>249</v>
      </c>
      <c r="H24" s="87" t="s">
        <v>76</v>
      </c>
      <c r="I24" s="87"/>
      <c r="J24" s="90">
        <v>8</v>
      </c>
      <c r="K24" s="90"/>
      <c r="L24" s="90">
        <v>2</v>
      </c>
      <c r="M24" s="90">
        <v>2</v>
      </c>
      <c r="N24" s="90"/>
      <c r="O24" s="90"/>
      <c r="P24" s="90">
        <v>3</v>
      </c>
      <c r="Q24" s="90"/>
      <c r="R24" s="90"/>
      <c r="S24" s="90">
        <v>1</v>
      </c>
      <c r="T24" s="93">
        <v>1</v>
      </c>
      <c r="U24" s="88">
        <f t="shared" si="0"/>
        <v>17</v>
      </c>
      <c r="V24" s="96" t="s">
        <v>324</v>
      </c>
      <c r="W24" s="96" t="s">
        <v>332</v>
      </c>
      <c r="X24" s="96" t="s">
        <v>300</v>
      </c>
    </row>
    <row r="25" spans="1:24" x14ac:dyDescent="0.3">
      <c r="A25" s="5">
        <v>1941</v>
      </c>
      <c r="B25" s="87" t="s">
        <v>77</v>
      </c>
      <c r="C25" s="89" t="s">
        <v>177</v>
      </c>
      <c r="D25" s="87" t="s">
        <v>78</v>
      </c>
      <c r="E25" s="87" t="s">
        <v>252</v>
      </c>
      <c r="F25" s="87" t="s">
        <v>79</v>
      </c>
      <c r="G25" s="87" t="s">
        <v>256</v>
      </c>
      <c r="H25" s="87" t="s">
        <v>272</v>
      </c>
      <c r="I25" s="87"/>
      <c r="J25" s="90">
        <v>3</v>
      </c>
      <c r="K25" s="90">
        <v>2</v>
      </c>
      <c r="L25" s="90">
        <v>1</v>
      </c>
      <c r="M25" s="90">
        <v>2</v>
      </c>
      <c r="N25" s="90">
        <v>2</v>
      </c>
      <c r="O25" s="90"/>
      <c r="P25" s="90">
        <v>1</v>
      </c>
      <c r="Q25" s="90"/>
      <c r="R25" s="90"/>
      <c r="S25" s="90">
        <v>7</v>
      </c>
      <c r="T25" s="93">
        <v>1</v>
      </c>
      <c r="U25" s="88">
        <f t="shared" si="0"/>
        <v>19</v>
      </c>
      <c r="V25" s="96" t="s">
        <v>325</v>
      </c>
      <c r="W25" s="96">
        <v>97064251</v>
      </c>
      <c r="X25" s="96" t="s">
        <v>301</v>
      </c>
    </row>
    <row r="26" spans="1:24" x14ac:dyDescent="0.3">
      <c r="A26" s="5">
        <v>1942</v>
      </c>
      <c r="B26" s="87" t="s">
        <v>81</v>
      </c>
      <c r="C26" s="89" t="s">
        <v>177</v>
      </c>
      <c r="D26" s="87" t="s">
        <v>82</v>
      </c>
      <c r="E26" s="87" t="s">
        <v>263</v>
      </c>
      <c r="F26" s="87" t="s">
        <v>83</v>
      </c>
      <c r="G26" s="87" t="s">
        <v>248</v>
      </c>
      <c r="H26" s="87" t="s">
        <v>273</v>
      </c>
      <c r="I26" s="87"/>
      <c r="J26" s="90">
        <v>9</v>
      </c>
      <c r="K26" s="90">
        <v>3</v>
      </c>
      <c r="L26" s="90">
        <v>4</v>
      </c>
      <c r="M26" s="90">
        <v>2</v>
      </c>
      <c r="N26" s="90">
        <v>1</v>
      </c>
      <c r="O26" s="90"/>
      <c r="P26" s="90">
        <v>2</v>
      </c>
      <c r="Q26" s="90"/>
      <c r="R26" s="90"/>
      <c r="S26" s="90"/>
      <c r="T26" s="93"/>
      <c r="U26" s="88">
        <f t="shared" si="0"/>
        <v>21</v>
      </c>
      <c r="V26" s="96" t="s">
        <v>326</v>
      </c>
      <c r="W26" s="96">
        <v>90205966</v>
      </c>
      <c r="X26" s="96" t="s">
        <v>371</v>
      </c>
    </row>
    <row r="27" spans="1:24" x14ac:dyDescent="0.3">
      <c r="A27" s="5">
        <v>1943</v>
      </c>
      <c r="B27" s="87" t="s">
        <v>84</v>
      </c>
      <c r="C27" s="89" t="s">
        <v>179</v>
      </c>
      <c r="D27" s="87" t="s">
        <v>85</v>
      </c>
      <c r="E27" s="87" t="s">
        <v>252</v>
      </c>
      <c r="F27" s="87" t="s">
        <v>86</v>
      </c>
      <c r="G27" s="87" t="s">
        <v>263</v>
      </c>
      <c r="H27" s="87" t="s">
        <v>274</v>
      </c>
      <c r="I27" s="87"/>
      <c r="J27" s="90">
        <v>3</v>
      </c>
      <c r="K27" s="90">
        <v>5</v>
      </c>
      <c r="L27" s="90">
        <v>1</v>
      </c>
      <c r="M27" s="90"/>
      <c r="N27" s="90">
        <v>1</v>
      </c>
      <c r="O27" s="90"/>
      <c r="P27" s="90"/>
      <c r="Q27" s="90"/>
      <c r="R27" s="90"/>
      <c r="S27" s="90">
        <v>5</v>
      </c>
      <c r="T27" s="93"/>
      <c r="U27" s="88">
        <f t="shared" si="0"/>
        <v>15</v>
      </c>
      <c r="V27" s="96" t="s">
        <v>327</v>
      </c>
      <c r="W27" s="96">
        <v>90762987</v>
      </c>
      <c r="X27" s="96" t="s">
        <v>302</v>
      </c>
    </row>
    <row r="28" spans="1:24" x14ac:dyDescent="0.3">
      <c r="A28" s="5" t="s">
        <v>87</v>
      </c>
      <c r="B28" s="87" t="s">
        <v>88</v>
      </c>
      <c r="C28" s="87"/>
      <c r="D28" s="87"/>
      <c r="E28" s="87"/>
      <c r="F28" s="87"/>
      <c r="G28" s="87"/>
      <c r="H28" s="87"/>
      <c r="I28" s="87"/>
      <c r="J28" s="91">
        <f t="shared" ref="J28:U28" si="1">J4+J5+J6+J7+SUM(J8:J27)</f>
        <v>171</v>
      </c>
      <c r="K28" s="91">
        <f t="shared" si="1"/>
        <v>87</v>
      </c>
      <c r="L28" s="91">
        <f t="shared" si="1"/>
        <v>58</v>
      </c>
      <c r="M28" s="91">
        <f t="shared" si="1"/>
        <v>70</v>
      </c>
      <c r="N28" s="91">
        <f t="shared" si="1"/>
        <v>17</v>
      </c>
      <c r="O28" s="91">
        <f t="shared" si="1"/>
        <v>16</v>
      </c>
      <c r="P28" s="91">
        <f t="shared" si="1"/>
        <v>13</v>
      </c>
      <c r="Q28" s="91">
        <f t="shared" si="1"/>
        <v>5</v>
      </c>
      <c r="R28" s="91">
        <f t="shared" si="1"/>
        <v>1</v>
      </c>
      <c r="S28" s="91">
        <f t="shared" si="1"/>
        <v>19</v>
      </c>
      <c r="T28" s="91">
        <f t="shared" si="1"/>
        <v>39</v>
      </c>
      <c r="U28" s="94">
        <f t="shared" si="1"/>
        <v>496</v>
      </c>
      <c r="V28" s="88"/>
      <c r="W28" s="88"/>
      <c r="X28" s="88"/>
    </row>
    <row r="29" spans="1:24" x14ac:dyDescent="0.3">
      <c r="A29" s="5" t="s">
        <v>89</v>
      </c>
      <c r="B29" s="87" t="s">
        <v>90</v>
      </c>
      <c r="C29" s="87"/>
      <c r="D29" s="87"/>
      <c r="E29" s="87"/>
      <c r="F29" s="87"/>
      <c r="G29" s="87"/>
      <c r="H29" s="87"/>
      <c r="I29" s="87"/>
      <c r="J29" s="90"/>
      <c r="K29" s="90"/>
      <c r="L29" s="90"/>
      <c r="M29" s="90"/>
      <c r="N29" s="90"/>
      <c r="O29" s="90"/>
      <c r="P29" s="90"/>
      <c r="Q29" s="90"/>
      <c r="R29" s="90"/>
      <c r="S29" s="90"/>
      <c r="T29" s="93"/>
      <c r="U29" s="88"/>
      <c r="V29" s="88"/>
      <c r="W29" s="88"/>
      <c r="X29" s="88"/>
    </row>
    <row r="30" spans="1:24" x14ac:dyDescent="0.3">
      <c r="J30" s="3"/>
      <c r="K30" s="3"/>
      <c r="L30" s="3"/>
      <c r="M30" s="3"/>
      <c r="N30" s="3"/>
      <c r="O30" s="3"/>
      <c r="P30" s="3"/>
      <c r="Q30" s="3"/>
      <c r="R30" s="3"/>
      <c r="S30" s="3"/>
      <c r="T30" s="3"/>
    </row>
  </sheetData>
  <pageMargins left="0.7" right="0.7" top="0.75" bottom="0.75" header="0.3" footer="0.3"/>
  <pageSetup paperSize="9" scale="71" orientation="landscape"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4">
    <pageSetUpPr fitToPage="1"/>
  </sheetPr>
  <dimension ref="A1:S103"/>
  <sheetViews>
    <sheetView workbookViewId="0">
      <pane xSplit="1" topLeftCell="E1" activePane="topRight" state="frozen"/>
      <selection activeCell="F30" sqref="F30"/>
      <selection pane="topRight" activeCell="F30" sqref="F30"/>
    </sheetView>
  </sheetViews>
  <sheetFormatPr baseColWidth="10" defaultRowHeight="14.4" x14ac:dyDescent="0.3"/>
  <cols>
    <col min="1" max="1" width="17.33203125" customWidth="1"/>
    <col min="3" max="3" width="24.6640625" bestFit="1" customWidth="1"/>
    <col min="4" max="4" width="21.5546875" customWidth="1"/>
    <col min="5" max="5" width="29.33203125" bestFit="1" customWidth="1"/>
    <col min="6" max="6" width="17.6640625" bestFit="1" customWidth="1"/>
    <col min="7" max="7" width="12" customWidth="1"/>
    <col min="8" max="8" width="15.109375" customWidth="1"/>
    <col min="9" max="9" width="19.44140625" customWidth="1"/>
    <col min="15" max="15" width="20.33203125" customWidth="1"/>
    <col min="16" max="16" width="14.44140625" customWidth="1"/>
  </cols>
  <sheetData>
    <row r="1" spans="1:19" ht="86.4" x14ac:dyDescent="0.3">
      <c r="A1" s="135" t="s">
        <v>111</v>
      </c>
      <c r="B1" s="135" t="s">
        <v>97</v>
      </c>
      <c r="C1" s="136" t="s">
        <v>379</v>
      </c>
      <c r="D1" s="137"/>
      <c r="E1" s="137"/>
      <c r="F1" s="137" t="s">
        <v>380</v>
      </c>
      <c r="G1" s="136"/>
      <c r="H1" s="136"/>
      <c r="I1" s="136"/>
      <c r="J1" s="136"/>
      <c r="K1" s="138" t="s">
        <v>112</v>
      </c>
      <c r="L1" s="138" t="s">
        <v>113</v>
      </c>
      <c r="M1" s="139" t="s">
        <v>114</v>
      </c>
      <c r="N1" s="139" t="s">
        <v>116</v>
      </c>
      <c r="O1" s="140" t="s">
        <v>281</v>
      </c>
      <c r="P1" s="140" t="s">
        <v>375</v>
      </c>
      <c r="Q1" s="140" t="s">
        <v>376</v>
      </c>
    </row>
    <row r="2" spans="1:19" x14ac:dyDescent="0.3">
      <c r="A2" s="113">
        <v>1902</v>
      </c>
      <c r="B2" s="113" t="s">
        <v>10</v>
      </c>
      <c r="C2" s="129">
        <v>5010677</v>
      </c>
      <c r="D2" s="129"/>
      <c r="E2" s="129"/>
      <c r="F2" s="129">
        <v>3306675</v>
      </c>
      <c r="G2" s="129"/>
      <c r="H2" s="129"/>
      <c r="I2" s="129"/>
      <c r="J2" s="130"/>
      <c r="K2" s="130">
        <v>2473.6</v>
      </c>
      <c r="L2" s="130">
        <v>47.01</v>
      </c>
      <c r="M2" s="131">
        <f t="shared" ref="M2:M25" si="0">K2+L2</f>
        <v>2520.61</v>
      </c>
      <c r="N2" s="132">
        <f>Bef.utv.!N7/'Inntekter, årsverk, areal'!M2</f>
        <v>28.834686841677211</v>
      </c>
      <c r="O2" s="133">
        <v>104</v>
      </c>
      <c r="P2" s="128">
        <v>5.4</v>
      </c>
      <c r="Q2" s="128">
        <v>3</v>
      </c>
      <c r="S2" s="19"/>
    </row>
    <row r="3" spans="1:19" s="72" customFormat="1" ht="43.2" x14ac:dyDescent="0.3">
      <c r="A3" s="113">
        <v>1903</v>
      </c>
      <c r="B3" s="134" t="s">
        <v>266</v>
      </c>
      <c r="C3" s="129">
        <v>1891053</v>
      </c>
      <c r="D3" s="129"/>
      <c r="E3" s="129"/>
      <c r="F3" s="129">
        <v>1196707</v>
      </c>
      <c r="G3" s="129"/>
      <c r="H3" s="129"/>
      <c r="I3" s="129"/>
      <c r="J3" s="130"/>
      <c r="K3" s="130">
        <v>428.36</v>
      </c>
      <c r="L3" s="130">
        <v>16.78</v>
      </c>
      <c r="M3" s="131">
        <f t="shared" si="0"/>
        <v>445.14</v>
      </c>
      <c r="N3" s="132">
        <f>Bef.utv.!N8/'Inntekter, årsverk, areal'!M3</f>
        <v>55.434245405939706</v>
      </c>
      <c r="O3" s="133">
        <v>104</v>
      </c>
      <c r="P3" s="128">
        <v>7</v>
      </c>
      <c r="Q3" s="128">
        <v>4.66</v>
      </c>
      <c r="S3" s="19"/>
    </row>
    <row r="4" spans="1:19" x14ac:dyDescent="0.3">
      <c r="A4" s="113">
        <v>1911</v>
      </c>
      <c r="B4" s="113" t="s">
        <v>14</v>
      </c>
      <c r="C4" s="129">
        <v>387165</v>
      </c>
      <c r="D4" s="129"/>
      <c r="E4" s="129"/>
      <c r="F4" s="129">
        <v>190572</v>
      </c>
      <c r="G4" s="129"/>
      <c r="H4" s="129"/>
      <c r="I4" s="129"/>
      <c r="J4" s="130"/>
      <c r="K4" s="130">
        <v>497.24</v>
      </c>
      <c r="L4" s="130">
        <v>15.34</v>
      </c>
      <c r="M4" s="131">
        <f t="shared" si="0"/>
        <v>512.58000000000004</v>
      </c>
      <c r="N4" s="132">
        <f>Bef.utv.!N9/'Inntekter, årsverk, areal'!M4</f>
        <v>6.0010144757891446</v>
      </c>
      <c r="O4" s="133">
        <v>107</v>
      </c>
      <c r="P4" s="128">
        <v>4</v>
      </c>
      <c r="Q4" s="128">
        <v>4</v>
      </c>
      <c r="S4" s="19"/>
    </row>
    <row r="5" spans="1:19" x14ac:dyDescent="0.3">
      <c r="A5" s="113">
        <v>1913</v>
      </c>
      <c r="B5" s="113" t="s">
        <v>18</v>
      </c>
      <c r="C5" s="129">
        <v>255972</v>
      </c>
      <c r="D5" s="129"/>
      <c r="E5" s="129"/>
      <c r="F5" s="129">
        <v>179226</v>
      </c>
      <c r="G5" s="129"/>
      <c r="H5" s="129"/>
      <c r="I5" s="129"/>
      <c r="J5" s="130"/>
      <c r="K5" s="130">
        <v>464.77</v>
      </c>
      <c r="L5" s="130">
        <v>30.23</v>
      </c>
      <c r="M5" s="131">
        <f t="shared" si="0"/>
        <v>495</v>
      </c>
      <c r="N5" s="132">
        <f>Bef.utv.!N10/'Inntekter, årsverk, areal'!M5</f>
        <v>6.0363636363636362</v>
      </c>
      <c r="O5" s="133">
        <v>107</v>
      </c>
      <c r="P5" s="128">
        <v>7</v>
      </c>
      <c r="Q5" s="128">
        <v>0</v>
      </c>
      <c r="S5" s="19"/>
    </row>
    <row r="6" spans="1:19" x14ac:dyDescent="0.3">
      <c r="A6" s="113">
        <v>1917</v>
      </c>
      <c r="B6" s="113" t="s">
        <v>21</v>
      </c>
      <c r="C6" s="129">
        <v>156609</v>
      </c>
      <c r="D6" s="129"/>
      <c r="E6" s="129"/>
      <c r="F6" s="129">
        <v>101142</v>
      </c>
      <c r="G6" s="129"/>
      <c r="H6" s="129"/>
      <c r="I6" s="129"/>
      <c r="J6" s="130"/>
      <c r="K6" s="130">
        <v>234.16</v>
      </c>
      <c r="L6" s="130">
        <v>6.9</v>
      </c>
      <c r="M6" s="131">
        <f t="shared" si="0"/>
        <v>241.06</v>
      </c>
      <c r="N6" s="132">
        <f>Bef.utv.!N11/'Inntekter, årsverk, areal'!M6</f>
        <v>5.8491661826931054</v>
      </c>
      <c r="O6" s="133">
        <v>114</v>
      </c>
      <c r="P6" s="128">
        <v>2</v>
      </c>
      <c r="Q6" s="128">
        <v>2</v>
      </c>
      <c r="S6" s="19"/>
    </row>
    <row r="7" spans="1:19" x14ac:dyDescent="0.3">
      <c r="A7" s="113">
        <v>1919</v>
      </c>
      <c r="B7" s="113" t="s">
        <v>24</v>
      </c>
      <c r="C7" s="129">
        <v>125027</v>
      </c>
      <c r="D7" s="129"/>
      <c r="E7" s="129"/>
      <c r="F7" s="129">
        <v>84183</v>
      </c>
      <c r="G7" s="129"/>
      <c r="H7" s="129"/>
      <c r="I7" s="129"/>
      <c r="J7" s="130"/>
      <c r="K7" s="130">
        <v>305.39999999999998</v>
      </c>
      <c r="L7" s="130">
        <v>7.34</v>
      </c>
      <c r="M7" s="131">
        <f t="shared" si="0"/>
        <v>312.73999999999995</v>
      </c>
      <c r="N7" s="132">
        <f>Bef.utv.!N12/'Inntekter, årsverk, areal'!M7</f>
        <v>3.635607853168767</v>
      </c>
      <c r="O7" s="133">
        <v>118</v>
      </c>
      <c r="P7" s="128">
        <v>7</v>
      </c>
      <c r="Q7" s="128">
        <v>0</v>
      </c>
      <c r="S7" s="19"/>
    </row>
    <row r="8" spans="1:19" x14ac:dyDescent="0.3">
      <c r="A8" s="113">
        <v>1920</v>
      </c>
      <c r="B8" s="113" t="s">
        <v>27</v>
      </c>
      <c r="C8" s="129">
        <v>117796</v>
      </c>
      <c r="D8" s="129"/>
      <c r="E8" s="129"/>
      <c r="F8" s="129">
        <v>76728</v>
      </c>
      <c r="G8" s="129"/>
      <c r="H8" s="129"/>
      <c r="I8" s="129"/>
      <c r="J8" s="130"/>
      <c r="K8" s="130">
        <v>296.11</v>
      </c>
      <c r="L8" s="130">
        <v>5.53</v>
      </c>
      <c r="M8" s="131">
        <f t="shared" si="0"/>
        <v>301.64</v>
      </c>
      <c r="N8" s="132">
        <f>Bef.utv.!N13/'Inntekter, årsverk, areal'!M8</f>
        <v>3.3417318658002917</v>
      </c>
      <c r="O8" s="133">
        <v>117</v>
      </c>
      <c r="P8" s="128">
        <v>6</v>
      </c>
      <c r="Q8" s="128">
        <v>0</v>
      </c>
      <c r="S8" s="19"/>
    </row>
    <row r="9" spans="1:19" x14ac:dyDescent="0.3">
      <c r="A9" s="113">
        <v>1922</v>
      </c>
      <c r="B9" s="113" t="s">
        <v>30</v>
      </c>
      <c r="C9" s="129">
        <v>389652</v>
      </c>
      <c r="D9" s="129"/>
      <c r="E9" s="129"/>
      <c r="F9" s="129">
        <v>215673</v>
      </c>
      <c r="G9" s="129"/>
      <c r="H9" s="129"/>
      <c r="I9" s="129"/>
      <c r="J9" s="130"/>
      <c r="K9" s="130">
        <v>2515.5100000000002</v>
      </c>
      <c r="L9" s="130">
        <v>188.37</v>
      </c>
      <c r="M9" s="131">
        <f t="shared" si="0"/>
        <v>2703.88</v>
      </c>
      <c r="N9" s="132">
        <f>Bef.utv.!N14/'Inntekter, årsverk, areal'!M9</f>
        <v>1.5082030267615427</v>
      </c>
      <c r="O9" s="133">
        <v>105</v>
      </c>
      <c r="P9" s="128">
        <v>7</v>
      </c>
      <c r="Q9" s="128">
        <v>5</v>
      </c>
      <c r="S9" s="19"/>
    </row>
    <row r="10" spans="1:19" x14ac:dyDescent="0.3">
      <c r="A10" s="113">
        <v>1923</v>
      </c>
      <c r="B10" s="113" t="s">
        <v>34</v>
      </c>
      <c r="C10" s="129">
        <v>284838</v>
      </c>
      <c r="D10" s="129"/>
      <c r="E10" s="129"/>
      <c r="F10" s="129">
        <v>134027</v>
      </c>
      <c r="G10" s="129"/>
      <c r="H10" s="129"/>
      <c r="I10" s="129"/>
      <c r="J10" s="130"/>
      <c r="K10" s="130">
        <v>438.05</v>
      </c>
      <c r="L10" s="130">
        <v>19.91</v>
      </c>
      <c r="M10" s="131">
        <f t="shared" si="0"/>
        <v>457.96000000000004</v>
      </c>
      <c r="N10" s="132">
        <f>Bef.utv.!N15/'Inntekter, årsverk, areal'!M10</f>
        <v>4.8454013450956408</v>
      </c>
      <c r="O10" s="133">
        <v>110</v>
      </c>
      <c r="P10" s="128">
        <v>6</v>
      </c>
      <c r="Q10" s="128">
        <v>6</v>
      </c>
      <c r="S10" s="19"/>
    </row>
    <row r="11" spans="1:19" x14ac:dyDescent="0.3">
      <c r="A11" s="113">
        <v>1924</v>
      </c>
      <c r="B11" s="113" t="s">
        <v>36</v>
      </c>
      <c r="C11" s="129">
        <v>571496</v>
      </c>
      <c r="D11" s="129"/>
      <c r="E11" s="129"/>
      <c r="F11" s="129">
        <v>347479</v>
      </c>
      <c r="G11" s="129"/>
      <c r="H11" s="129"/>
      <c r="I11" s="129"/>
      <c r="J11" s="130"/>
      <c r="K11" s="130">
        <v>3207.33</v>
      </c>
      <c r="L11" s="130">
        <v>114.76</v>
      </c>
      <c r="M11" s="131">
        <f t="shared" si="0"/>
        <v>3322.09</v>
      </c>
      <c r="N11" s="132">
        <f>Bef.utv.!N16/'Inntekter, årsverk, areal'!M11</f>
        <v>2.0146955681513745</v>
      </c>
      <c r="O11" s="133">
        <v>103</v>
      </c>
      <c r="P11" s="128">
        <v>7</v>
      </c>
      <c r="Q11" s="128">
        <v>7</v>
      </c>
      <c r="S11" s="19"/>
    </row>
    <row r="12" spans="1:19" x14ac:dyDescent="0.3">
      <c r="A12" s="113">
        <v>1925</v>
      </c>
      <c r="B12" s="113" t="s">
        <v>39</v>
      </c>
      <c r="C12" s="129">
        <v>276931</v>
      </c>
      <c r="D12" s="129"/>
      <c r="E12" s="129"/>
      <c r="F12" s="129">
        <v>186452</v>
      </c>
      <c r="G12" s="129"/>
      <c r="H12" s="129"/>
      <c r="I12" s="129"/>
      <c r="J12" s="130"/>
      <c r="K12" s="130">
        <v>346.91</v>
      </c>
      <c r="L12" s="130">
        <v>14.26</v>
      </c>
      <c r="M12" s="131">
        <f t="shared" si="0"/>
        <v>361.17</v>
      </c>
      <c r="N12" s="132">
        <f>Bef.utv.!N17/'Inntekter, årsverk, areal'!M12</f>
        <v>9.5550571752914131</v>
      </c>
      <c r="O12" s="133">
        <v>104</v>
      </c>
      <c r="P12" s="128">
        <v>0</v>
      </c>
      <c r="Q12" s="128">
        <v>0</v>
      </c>
      <c r="S12" s="19"/>
    </row>
    <row r="13" spans="1:19" x14ac:dyDescent="0.3">
      <c r="A13" s="113">
        <v>1926</v>
      </c>
      <c r="B13" s="113" t="s">
        <v>42</v>
      </c>
      <c r="C13" s="129">
        <v>129069</v>
      </c>
      <c r="D13" s="129"/>
      <c r="E13" s="129"/>
      <c r="F13" s="129">
        <v>87643</v>
      </c>
      <c r="G13" s="129"/>
      <c r="H13" s="129"/>
      <c r="I13" s="129"/>
      <c r="J13" s="130"/>
      <c r="K13" s="130">
        <v>276.95999999999998</v>
      </c>
      <c r="L13" s="130">
        <v>11.58</v>
      </c>
      <c r="M13" s="131">
        <f t="shared" si="0"/>
        <v>288.53999999999996</v>
      </c>
      <c r="N13" s="132">
        <f>Bef.utv.!N18/'Inntekter, årsverk, areal'!M13</f>
        <v>3.999445484161642</v>
      </c>
      <c r="O13" s="133">
        <v>119</v>
      </c>
      <c r="P13" s="128">
        <v>0</v>
      </c>
      <c r="Q13" s="128">
        <v>0</v>
      </c>
      <c r="S13" s="19"/>
    </row>
    <row r="14" spans="1:19" x14ac:dyDescent="0.3">
      <c r="A14" s="113">
        <v>1927</v>
      </c>
      <c r="B14" s="113" t="s">
        <v>45</v>
      </c>
      <c r="C14" s="129">
        <v>169571</v>
      </c>
      <c r="D14" s="129"/>
      <c r="E14" s="129"/>
      <c r="F14" s="129">
        <v>107593</v>
      </c>
      <c r="G14" s="129"/>
      <c r="H14" s="129"/>
      <c r="I14" s="129"/>
      <c r="J14" s="130"/>
      <c r="K14" s="130">
        <v>499.27</v>
      </c>
      <c r="L14" s="130">
        <v>24.6</v>
      </c>
      <c r="M14" s="131">
        <f t="shared" si="0"/>
        <v>523.87</v>
      </c>
      <c r="N14" s="132">
        <f>Bef.utv.!N19/'Inntekter, årsverk, areal'!M14</f>
        <v>2.9472960849065606</v>
      </c>
      <c r="O14" s="133">
        <v>114</v>
      </c>
      <c r="P14" s="128">
        <v>3</v>
      </c>
      <c r="Q14" s="128">
        <v>3</v>
      </c>
      <c r="S14" s="19"/>
    </row>
    <row r="15" spans="1:19" x14ac:dyDescent="0.3">
      <c r="A15" s="113">
        <v>1928</v>
      </c>
      <c r="B15" s="113" t="s">
        <v>49</v>
      </c>
      <c r="C15" s="129">
        <v>105800</v>
      </c>
      <c r="D15" s="129"/>
      <c r="E15" s="129"/>
      <c r="F15" s="129">
        <v>72215</v>
      </c>
      <c r="G15" s="129"/>
      <c r="H15" s="129"/>
      <c r="I15" s="129"/>
      <c r="J15" s="130"/>
      <c r="K15" s="130">
        <v>235.3</v>
      </c>
      <c r="L15" s="130">
        <v>8.1199999999999992</v>
      </c>
      <c r="M15" s="131">
        <f t="shared" si="0"/>
        <v>243.42000000000002</v>
      </c>
      <c r="N15" s="132">
        <f>Bef.utv.!N20/'Inntekter, årsverk, areal'!M15</f>
        <v>3.6315832717114449</v>
      </c>
      <c r="O15" s="133">
        <v>120</v>
      </c>
      <c r="P15" s="128">
        <v>7</v>
      </c>
      <c r="Q15" s="128">
        <v>5.5</v>
      </c>
      <c r="S15" s="19"/>
    </row>
    <row r="16" spans="1:19" x14ac:dyDescent="0.3">
      <c r="A16" s="113">
        <v>1929</v>
      </c>
      <c r="B16" s="113" t="s">
        <v>53</v>
      </c>
      <c r="C16" s="129">
        <v>102078</v>
      </c>
      <c r="D16" s="129"/>
      <c r="E16" s="129"/>
      <c r="F16" s="129">
        <v>62889</v>
      </c>
      <c r="G16" s="129"/>
      <c r="H16" s="129"/>
      <c r="I16" s="129"/>
      <c r="J16" s="130"/>
      <c r="K16" s="130">
        <v>276.33999999999997</v>
      </c>
      <c r="L16" s="130">
        <v>17.55</v>
      </c>
      <c r="M16" s="131">
        <f t="shared" si="0"/>
        <v>293.89</v>
      </c>
      <c r="N16" s="132">
        <f>Bef.utv.!N21/'Inntekter, årsverk, areal'!M16</f>
        <v>3.0793834427847155</v>
      </c>
      <c r="O16" s="133">
        <v>117</v>
      </c>
      <c r="P16" s="128">
        <v>7</v>
      </c>
      <c r="Q16" s="128">
        <v>5.5</v>
      </c>
      <c r="S16" s="19"/>
    </row>
    <row r="17" spans="1:19" x14ac:dyDescent="0.3">
      <c r="A17" s="113">
        <v>1931</v>
      </c>
      <c r="B17" s="113" t="s">
        <v>56</v>
      </c>
      <c r="C17" s="129">
        <v>1049290</v>
      </c>
      <c r="D17" s="129"/>
      <c r="E17" s="129"/>
      <c r="F17" s="129">
        <v>629439</v>
      </c>
      <c r="G17" s="129"/>
      <c r="H17" s="129"/>
      <c r="I17" s="129"/>
      <c r="J17" s="130"/>
      <c r="K17" s="130">
        <v>848.88</v>
      </c>
      <c r="L17" s="130">
        <v>34.86</v>
      </c>
      <c r="M17" s="131">
        <f t="shared" si="0"/>
        <v>883.74</v>
      </c>
      <c r="N17" s="132">
        <f>Bef.utv.!N22/'Inntekter, årsverk, areal'!M17</f>
        <v>13.052481499083441</v>
      </c>
      <c r="O17" s="133">
        <v>102</v>
      </c>
      <c r="P17" s="128">
        <v>5.5</v>
      </c>
      <c r="Q17" s="128">
        <v>5</v>
      </c>
      <c r="S17" s="19"/>
    </row>
    <row r="18" spans="1:19" x14ac:dyDescent="0.3">
      <c r="A18" s="113">
        <v>1933</v>
      </c>
      <c r="B18" s="113" t="s">
        <v>60</v>
      </c>
      <c r="C18" s="129">
        <v>453742</v>
      </c>
      <c r="D18" s="129"/>
      <c r="E18" s="129"/>
      <c r="F18" s="129">
        <v>314796</v>
      </c>
      <c r="G18" s="129"/>
      <c r="H18" s="129"/>
      <c r="I18" s="129"/>
      <c r="J18" s="130"/>
      <c r="K18" s="130">
        <v>1440.83</v>
      </c>
      <c r="L18" s="130">
        <v>56.09</v>
      </c>
      <c r="M18" s="131">
        <f t="shared" si="0"/>
        <v>1496.9199999999998</v>
      </c>
      <c r="N18" s="132">
        <f>Bef.utv.!N23/'Inntekter, årsverk, areal'!M18</f>
        <v>3.8211794885498227</v>
      </c>
      <c r="O18" s="133">
        <v>103</v>
      </c>
      <c r="P18" s="128">
        <v>7</v>
      </c>
      <c r="Q18" s="128">
        <v>7</v>
      </c>
      <c r="S18" s="19"/>
    </row>
    <row r="19" spans="1:19" x14ac:dyDescent="0.3">
      <c r="A19" s="113">
        <v>1936</v>
      </c>
      <c r="B19" s="113" t="s">
        <v>62</v>
      </c>
      <c r="C19" s="129">
        <v>225187</v>
      </c>
      <c r="D19" s="129"/>
      <c r="E19" s="129"/>
      <c r="F19" s="129">
        <v>156633</v>
      </c>
      <c r="G19" s="129"/>
      <c r="H19" s="129"/>
      <c r="I19" s="129"/>
      <c r="J19" s="130"/>
      <c r="K19" s="130">
        <v>1050.71</v>
      </c>
      <c r="L19" s="130">
        <v>40.880000000000003</v>
      </c>
      <c r="M19" s="131">
        <f t="shared" si="0"/>
        <v>1091.5900000000001</v>
      </c>
      <c r="N19" s="132">
        <f>Bef.utv.!N24/'Inntekter, årsverk, areal'!M19</f>
        <v>2.0969411592264491</v>
      </c>
      <c r="O19" s="133">
        <v>115</v>
      </c>
      <c r="P19" s="128">
        <v>7</v>
      </c>
      <c r="Q19" s="128">
        <v>7</v>
      </c>
      <c r="S19" s="19"/>
    </row>
    <row r="20" spans="1:19" x14ac:dyDescent="0.3">
      <c r="A20" s="113">
        <v>1938</v>
      </c>
      <c r="B20" s="113" t="s">
        <v>66</v>
      </c>
      <c r="C20" s="129">
        <v>295711</v>
      </c>
      <c r="D20" s="129"/>
      <c r="E20" s="129"/>
      <c r="F20" s="129">
        <v>203796</v>
      </c>
      <c r="G20" s="129"/>
      <c r="H20" s="129"/>
      <c r="I20" s="129"/>
      <c r="J20" s="130"/>
      <c r="K20" s="130">
        <v>795.68</v>
      </c>
      <c r="L20" s="130">
        <v>16.88</v>
      </c>
      <c r="M20" s="131">
        <f t="shared" si="0"/>
        <v>812.56</v>
      </c>
      <c r="N20" s="132">
        <f>Bef.utv.!N25/'Inntekter, årsverk, areal'!M20</f>
        <v>3.596042138426701</v>
      </c>
      <c r="O20" s="133">
        <v>113</v>
      </c>
      <c r="P20" s="128">
        <v>5</v>
      </c>
      <c r="Q20" s="128">
        <v>5</v>
      </c>
      <c r="S20" s="19"/>
    </row>
    <row r="21" spans="1:19" x14ac:dyDescent="0.3">
      <c r="A21" s="113">
        <v>1939</v>
      </c>
      <c r="B21" s="113" t="s">
        <v>70</v>
      </c>
      <c r="C21" s="129">
        <v>204148</v>
      </c>
      <c r="D21" s="129"/>
      <c r="E21" s="129"/>
      <c r="F21" s="129">
        <v>130595</v>
      </c>
      <c r="G21" s="129"/>
      <c r="H21" s="129"/>
      <c r="I21" s="129"/>
      <c r="J21" s="130"/>
      <c r="K21" s="130">
        <v>1477.77</v>
      </c>
      <c r="L21" s="130">
        <v>65.06</v>
      </c>
      <c r="M21" s="131">
        <f t="shared" si="0"/>
        <v>1542.83</v>
      </c>
      <c r="N21" s="132">
        <f>Bef.utv.!N26/'Inntekter, årsverk, areal'!M21</f>
        <v>1.2302068277127098</v>
      </c>
      <c r="O21" s="133">
        <v>118</v>
      </c>
      <c r="P21" s="128">
        <v>7</v>
      </c>
      <c r="Q21" s="128">
        <v>0</v>
      </c>
      <c r="S21" s="19"/>
    </row>
    <row r="22" spans="1:19" x14ac:dyDescent="0.3">
      <c r="A22" s="113">
        <v>1940</v>
      </c>
      <c r="B22" s="113" t="s">
        <v>95</v>
      </c>
      <c r="C22" s="129">
        <v>223912</v>
      </c>
      <c r="D22" s="129"/>
      <c r="E22" s="129"/>
      <c r="F22" s="129">
        <v>145679</v>
      </c>
      <c r="G22" s="129"/>
      <c r="H22" s="129"/>
      <c r="I22" s="129"/>
      <c r="J22" s="130"/>
      <c r="K22" s="130">
        <v>950.33</v>
      </c>
      <c r="L22" s="130">
        <v>40.85</v>
      </c>
      <c r="M22" s="131">
        <f t="shared" si="0"/>
        <v>991.18000000000006</v>
      </c>
      <c r="N22" s="132">
        <f>Bef.utv.!N27/'Inntekter, årsverk, areal'!M22</f>
        <v>2.2014164934724265</v>
      </c>
      <c r="O22" s="133">
        <v>119</v>
      </c>
      <c r="P22" s="128">
        <v>7</v>
      </c>
      <c r="Q22" s="128">
        <v>0</v>
      </c>
      <c r="S22" s="19"/>
    </row>
    <row r="23" spans="1:19" x14ac:dyDescent="0.3">
      <c r="A23" s="113">
        <v>1941</v>
      </c>
      <c r="B23" s="113" t="s">
        <v>77</v>
      </c>
      <c r="C23" s="129">
        <v>262743</v>
      </c>
      <c r="D23" s="129"/>
      <c r="E23" s="129"/>
      <c r="F23" s="129">
        <v>181174</v>
      </c>
      <c r="G23" s="129"/>
      <c r="H23" s="129"/>
      <c r="I23" s="129"/>
      <c r="J23" s="130"/>
      <c r="K23" s="130">
        <v>464.99</v>
      </c>
      <c r="L23" s="130">
        <v>8.7100000000000009</v>
      </c>
      <c r="M23" s="131">
        <f t="shared" si="0"/>
        <v>473.7</v>
      </c>
      <c r="N23" s="132">
        <f>Bef.utv.!N28/'Inntekter, årsverk, areal'!M23</f>
        <v>6.1114629512349588</v>
      </c>
      <c r="O23" s="133">
        <v>117</v>
      </c>
      <c r="P23" s="128">
        <v>7</v>
      </c>
      <c r="Q23" s="128">
        <v>7</v>
      </c>
      <c r="S23" s="19"/>
    </row>
    <row r="24" spans="1:19" x14ac:dyDescent="0.3">
      <c r="A24" s="113">
        <v>1942</v>
      </c>
      <c r="B24" s="113" t="s">
        <v>81</v>
      </c>
      <c r="C24" s="129">
        <v>436551</v>
      </c>
      <c r="D24" s="129"/>
      <c r="E24" s="129"/>
      <c r="F24" s="129">
        <v>263769</v>
      </c>
      <c r="G24" s="129"/>
      <c r="H24" s="129"/>
      <c r="I24" s="129"/>
      <c r="J24" s="130"/>
      <c r="K24" s="130">
        <v>3336.06</v>
      </c>
      <c r="L24" s="130">
        <v>101.4</v>
      </c>
      <c r="M24" s="131">
        <f t="shared" si="0"/>
        <v>3437.46</v>
      </c>
      <c r="N24" s="132">
        <f>Bef.utv.!N29/'Inntekter, årsverk, areal'!M24</f>
        <v>1.4202347081856952</v>
      </c>
      <c r="O24" s="133">
        <v>104</v>
      </c>
      <c r="P24" s="128">
        <v>7</v>
      </c>
      <c r="Q24" s="128">
        <v>7</v>
      </c>
      <c r="S24" s="19"/>
    </row>
    <row r="25" spans="1:19" x14ac:dyDescent="0.3">
      <c r="A25" s="113">
        <v>1943</v>
      </c>
      <c r="B25" s="113" t="s">
        <v>84</v>
      </c>
      <c r="C25" s="129">
        <v>156979</v>
      </c>
      <c r="D25" s="129"/>
      <c r="E25" s="129"/>
      <c r="F25" s="129">
        <v>104343</v>
      </c>
      <c r="G25" s="129"/>
      <c r="H25" s="129"/>
      <c r="I25" s="129"/>
      <c r="J25" s="130"/>
      <c r="K25" s="130">
        <v>2008.64</v>
      </c>
      <c r="L25" s="130">
        <v>100.83</v>
      </c>
      <c r="M25" s="131">
        <f t="shared" si="0"/>
        <v>2109.4700000000003</v>
      </c>
      <c r="N25" s="132">
        <f>Bef.utv.!N30/'Inntekter, årsverk, areal'!M25</f>
        <v>0.58118863980051849</v>
      </c>
      <c r="O25" s="133">
        <v>133</v>
      </c>
      <c r="P25" s="128">
        <v>7</v>
      </c>
      <c r="Q25" s="128">
        <v>0</v>
      </c>
      <c r="S25" s="19"/>
    </row>
    <row r="26" spans="1:19" x14ac:dyDescent="0.3">
      <c r="C26" s="11">
        <f>SUM(C2:C25)</f>
        <v>13281997</v>
      </c>
      <c r="D26" s="11"/>
      <c r="E26" s="78"/>
      <c r="F26" s="11" t="s">
        <v>264</v>
      </c>
      <c r="G26" s="11"/>
      <c r="H26" s="11"/>
      <c r="I26" s="11"/>
      <c r="K26" t="s">
        <v>264</v>
      </c>
      <c r="L26" t="s">
        <v>264</v>
      </c>
      <c r="M26" t="s">
        <v>264</v>
      </c>
      <c r="N26" s="65" t="s">
        <v>265</v>
      </c>
    </row>
    <row r="27" spans="1:19" x14ac:dyDescent="0.3">
      <c r="A27" t="s">
        <v>383</v>
      </c>
      <c r="E27" s="11"/>
      <c r="L27" t="s">
        <v>264</v>
      </c>
      <c r="M27" s="59" t="s">
        <v>264</v>
      </c>
      <c r="N27" s="19"/>
    </row>
    <row r="28" spans="1:19" x14ac:dyDescent="0.3">
      <c r="M28" s="59" t="s">
        <v>264</v>
      </c>
    </row>
    <row r="29" spans="1:19" ht="18" x14ac:dyDescent="0.35">
      <c r="A29" s="177" t="s">
        <v>406</v>
      </c>
      <c r="B29" s="78"/>
      <c r="C29" s="78"/>
      <c r="D29" s="78"/>
      <c r="E29" s="78"/>
      <c r="F29" s="78"/>
      <c r="G29" s="78"/>
      <c r="H29" s="78"/>
      <c r="I29" s="78"/>
      <c r="J29" s="78"/>
      <c r="K29" s="78"/>
      <c r="L29" s="78"/>
      <c r="M29" s="78"/>
      <c r="N29" s="78"/>
      <c r="O29" s="78"/>
    </row>
    <row r="30" spans="1:19" ht="15" thickBot="1" x14ac:dyDescent="0.35">
      <c r="A30" s="78"/>
      <c r="B30" s="78"/>
      <c r="C30" s="78"/>
      <c r="D30" s="78"/>
      <c r="E30" s="78"/>
      <c r="F30" s="78"/>
      <c r="G30" s="78"/>
      <c r="H30" s="78"/>
      <c r="I30" s="78"/>
      <c r="J30" s="78"/>
      <c r="K30" s="78"/>
      <c r="L30" s="78"/>
      <c r="M30" s="78"/>
      <c r="N30" s="78"/>
      <c r="O30" s="78"/>
    </row>
    <row r="31" spans="1:19" ht="57.6" x14ac:dyDescent="0.3">
      <c r="A31" s="78">
        <v>2014</v>
      </c>
      <c r="B31" s="178" t="s">
        <v>407</v>
      </c>
      <c r="C31" s="179"/>
      <c r="D31" s="179"/>
      <c r="E31" s="179"/>
      <c r="F31" s="179"/>
      <c r="G31" s="179"/>
      <c r="H31" s="179"/>
      <c r="I31" s="179"/>
      <c r="J31" s="179"/>
      <c r="K31" s="180"/>
      <c r="L31" s="78"/>
      <c r="M31" s="181"/>
      <c r="N31" s="182" t="s">
        <v>408</v>
      </c>
      <c r="O31" s="78"/>
    </row>
    <row r="32" spans="1:19" ht="57.6" x14ac:dyDescent="0.3">
      <c r="A32" s="183"/>
      <c r="B32" s="184" t="s">
        <v>395</v>
      </c>
      <c r="C32" s="185" t="s">
        <v>396</v>
      </c>
      <c r="D32" s="185" t="s">
        <v>397</v>
      </c>
      <c r="E32" s="185" t="s">
        <v>398</v>
      </c>
      <c r="F32" s="185" t="s">
        <v>399</v>
      </c>
      <c r="G32" s="185" t="s">
        <v>400</v>
      </c>
      <c r="H32" s="185" t="s">
        <v>401</v>
      </c>
      <c r="I32" s="185" t="s">
        <v>402</v>
      </c>
      <c r="J32" s="185" t="s">
        <v>403</v>
      </c>
      <c r="K32" s="186" t="s">
        <v>409</v>
      </c>
      <c r="L32" s="183"/>
      <c r="M32" s="187"/>
      <c r="N32" s="186" t="s">
        <v>410</v>
      </c>
      <c r="O32" s="188" t="s">
        <v>411</v>
      </c>
    </row>
    <row r="33" spans="1:15" x14ac:dyDescent="0.3">
      <c r="A33" s="199" t="s">
        <v>173</v>
      </c>
      <c r="B33" s="189">
        <v>12958911</v>
      </c>
      <c r="C33" s="190">
        <v>35051325</v>
      </c>
      <c r="D33" s="190">
        <v>41685987</v>
      </c>
      <c r="E33" s="190">
        <v>111756881</v>
      </c>
      <c r="F33" s="190">
        <v>10469988</v>
      </c>
      <c r="G33" s="190">
        <v>1355594</v>
      </c>
      <c r="H33" s="190">
        <v>107017755</v>
      </c>
      <c r="I33" s="190">
        <v>9625772</v>
      </c>
      <c r="J33" s="190">
        <v>1485912</v>
      </c>
      <c r="K33" s="191">
        <v>331408125</v>
      </c>
      <c r="L33" s="78"/>
      <c r="M33" s="192" t="s">
        <v>412</v>
      </c>
      <c r="N33" s="191">
        <v>331563779</v>
      </c>
      <c r="O33" s="193">
        <f>K33-N33</f>
        <v>-155654</v>
      </c>
    </row>
    <row r="34" spans="1:15" x14ac:dyDescent="0.3">
      <c r="A34" s="200">
        <v>1902</v>
      </c>
      <c r="B34" s="189">
        <v>220118</v>
      </c>
      <c r="C34" s="190">
        <v>552176</v>
      </c>
      <c r="D34" s="190">
        <v>645994</v>
      </c>
      <c r="E34" s="190">
        <v>1607257</v>
      </c>
      <c r="F34" s="190">
        <v>136416</v>
      </c>
      <c r="G34" s="190">
        <v>9941</v>
      </c>
      <c r="H34" s="190">
        <v>1699418</v>
      </c>
      <c r="I34" s="190">
        <v>134935</v>
      </c>
      <c r="J34" s="190">
        <v>11</v>
      </c>
      <c r="K34" s="191">
        <v>5006266</v>
      </c>
      <c r="L34" s="78"/>
      <c r="M34" s="192" t="s">
        <v>413</v>
      </c>
      <c r="N34" s="191">
        <v>5010677</v>
      </c>
      <c r="O34" s="193">
        <f t="shared" ref="O34:O67" si="1">K34-N34</f>
        <v>-4411</v>
      </c>
    </row>
    <row r="35" spans="1:15" x14ac:dyDescent="0.3">
      <c r="A35" s="200">
        <v>1903</v>
      </c>
      <c r="B35" s="189">
        <v>85614</v>
      </c>
      <c r="C35" s="190">
        <v>215127</v>
      </c>
      <c r="D35" s="190">
        <v>252324</v>
      </c>
      <c r="E35" s="190">
        <v>664855</v>
      </c>
      <c r="F35" s="190">
        <v>69845</v>
      </c>
      <c r="G35" s="190">
        <v>4214</v>
      </c>
      <c r="H35" s="190">
        <v>531852</v>
      </c>
      <c r="I35" s="190">
        <v>66869</v>
      </c>
      <c r="J35" s="190">
        <v>69</v>
      </c>
      <c r="K35" s="191">
        <v>1890769</v>
      </c>
      <c r="L35" s="78"/>
      <c r="M35" s="192" t="s">
        <v>414</v>
      </c>
      <c r="N35" s="191">
        <v>1891053</v>
      </c>
      <c r="O35" s="193">
        <f t="shared" si="1"/>
        <v>-284</v>
      </c>
    </row>
    <row r="36" spans="1:15" x14ac:dyDescent="0.3">
      <c r="A36" s="200">
        <v>1911</v>
      </c>
      <c r="B36" s="189">
        <v>11699</v>
      </c>
      <c r="C36" s="190">
        <v>23378</v>
      </c>
      <c r="D36" s="190">
        <v>43977</v>
      </c>
      <c r="E36" s="190">
        <v>137309</v>
      </c>
      <c r="F36" s="190">
        <v>116782</v>
      </c>
      <c r="G36" s="190">
        <v>317</v>
      </c>
      <c r="H36" s="190">
        <v>53263</v>
      </c>
      <c r="I36" s="190">
        <v>441</v>
      </c>
      <c r="J36" s="190">
        <v>0</v>
      </c>
      <c r="K36" s="191">
        <v>387166</v>
      </c>
      <c r="L36" s="78"/>
      <c r="M36" s="192" t="s">
        <v>415</v>
      </c>
      <c r="N36" s="191">
        <v>387165</v>
      </c>
      <c r="O36" s="193">
        <f t="shared" si="1"/>
        <v>1</v>
      </c>
    </row>
    <row r="37" spans="1:15" x14ac:dyDescent="0.3">
      <c r="A37" s="200">
        <v>1913</v>
      </c>
      <c r="B37" s="189">
        <v>9916</v>
      </c>
      <c r="C37" s="190">
        <v>17941</v>
      </c>
      <c r="D37" s="190">
        <v>40930</v>
      </c>
      <c r="E37" s="190">
        <v>123609</v>
      </c>
      <c r="F37" s="190">
        <v>6458</v>
      </c>
      <c r="G37" s="190">
        <v>0</v>
      </c>
      <c r="H37" s="190">
        <v>55617</v>
      </c>
      <c r="I37" s="190">
        <v>1149</v>
      </c>
      <c r="J37" s="190">
        <v>356</v>
      </c>
      <c r="K37" s="191">
        <v>255976</v>
      </c>
      <c r="L37" s="78"/>
      <c r="M37" s="192" t="s">
        <v>416</v>
      </c>
      <c r="N37" s="191">
        <v>255972</v>
      </c>
      <c r="O37" s="193">
        <f t="shared" si="1"/>
        <v>4</v>
      </c>
    </row>
    <row r="38" spans="1:15" x14ac:dyDescent="0.3">
      <c r="A38" s="200">
        <v>1917</v>
      </c>
      <c r="B38" s="189">
        <v>6632</v>
      </c>
      <c r="C38" s="190">
        <v>7526</v>
      </c>
      <c r="D38" s="190">
        <v>30345</v>
      </c>
      <c r="E38" s="190">
        <v>75120</v>
      </c>
      <c r="F38" s="190">
        <v>9078</v>
      </c>
      <c r="G38" s="190">
        <v>50</v>
      </c>
      <c r="H38" s="190">
        <v>26022</v>
      </c>
      <c r="I38" s="190">
        <v>1823</v>
      </c>
      <c r="J38" s="190">
        <v>17</v>
      </c>
      <c r="K38" s="191">
        <v>156613</v>
      </c>
      <c r="L38" s="78"/>
      <c r="M38" s="192" t="s">
        <v>417</v>
      </c>
      <c r="N38" s="191">
        <v>156609</v>
      </c>
      <c r="O38" s="193">
        <f t="shared" si="1"/>
        <v>4</v>
      </c>
    </row>
    <row r="39" spans="1:15" x14ac:dyDescent="0.3">
      <c r="A39" s="200">
        <v>1919</v>
      </c>
      <c r="B39" s="189">
        <v>3532</v>
      </c>
      <c r="C39" s="190">
        <v>10012</v>
      </c>
      <c r="D39" s="190">
        <v>19278</v>
      </c>
      <c r="E39" s="190">
        <v>64619</v>
      </c>
      <c r="F39" s="190">
        <v>5399</v>
      </c>
      <c r="G39" s="190">
        <v>2357</v>
      </c>
      <c r="H39" s="190">
        <v>19558</v>
      </c>
      <c r="I39" s="190">
        <v>270</v>
      </c>
      <c r="J39" s="190">
        <v>6</v>
      </c>
      <c r="K39" s="191">
        <v>125031</v>
      </c>
      <c r="L39" s="78"/>
      <c r="M39" s="192" t="s">
        <v>418</v>
      </c>
      <c r="N39" s="191">
        <v>125027</v>
      </c>
      <c r="O39" s="193">
        <f t="shared" si="1"/>
        <v>4</v>
      </c>
    </row>
    <row r="40" spans="1:15" x14ac:dyDescent="0.3">
      <c r="A40" s="200">
        <v>1920</v>
      </c>
      <c r="B40" s="189">
        <v>3955</v>
      </c>
      <c r="C40" s="190">
        <v>8684</v>
      </c>
      <c r="D40" s="190">
        <v>19974</v>
      </c>
      <c r="E40" s="190">
        <v>61011</v>
      </c>
      <c r="F40" s="190">
        <v>6904</v>
      </c>
      <c r="G40" s="190">
        <v>1273</v>
      </c>
      <c r="H40" s="190">
        <v>15717</v>
      </c>
      <c r="I40" s="190">
        <v>282</v>
      </c>
      <c r="J40" s="190">
        <v>0</v>
      </c>
      <c r="K40" s="191">
        <v>117800</v>
      </c>
      <c r="L40" s="78"/>
      <c r="M40" s="192" t="s">
        <v>419</v>
      </c>
      <c r="N40" s="191">
        <v>117796</v>
      </c>
      <c r="O40" s="193">
        <f t="shared" si="1"/>
        <v>4</v>
      </c>
    </row>
    <row r="41" spans="1:15" x14ac:dyDescent="0.3">
      <c r="A41" s="200">
        <v>1922</v>
      </c>
      <c r="B41" s="189">
        <v>15083</v>
      </c>
      <c r="C41" s="190">
        <v>51696</v>
      </c>
      <c r="D41" s="190">
        <v>56620</v>
      </c>
      <c r="E41" s="190">
        <v>120589</v>
      </c>
      <c r="F41" s="190">
        <v>15725</v>
      </c>
      <c r="G41" s="190">
        <v>3539</v>
      </c>
      <c r="H41" s="190">
        <v>84362</v>
      </c>
      <c r="I41" s="190">
        <v>27366</v>
      </c>
      <c r="J41" s="190">
        <v>14465</v>
      </c>
      <c r="K41" s="191">
        <v>389445</v>
      </c>
      <c r="L41" s="78"/>
      <c r="M41" s="192" t="s">
        <v>420</v>
      </c>
      <c r="N41" s="191">
        <v>389652</v>
      </c>
      <c r="O41" s="193">
        <f t="shared" si="1"/>
        <v>-207</v>
      </c>
    </row>
    <row r="42" spans="1:15" x14ac:dyDescent="0.3">
      <c r="A42" s="200">
        <v>1923</v>
      </c>
      <c r="B42" s="189">
        <v>6698</v>
      </c>
      <c r="C42" s="190">
        <v>19097</v>
      </c>
      <c r="D42" s="190">
        <v>97826</v>
      </c>
      <c r="E42" s="190">
        <v>95659</v>
      </c>
      <c r="F42" s="190">
        <v>22687</v>
      </c>
      <c r="G42" s="190">
        <v>14</v>
      </c>
      <c r="H42" s="190">
        <v>38368</v>
      </c>
      <c r="I42" s="190">
        <v>4493</v>
      </c>
      <c r="J42" s="190">
        <v>0</v>
      </c>
      <c r="K42" s="191">
        <v>284842</v>
      </c>
      <c r="L42" s="78"/>
      <c r="M42" s="192" t="s">
        <v>421</v>
      </c>
      <c r="N42" s="191">
        <v>284838</v>
      </c>
      <c r="O42" s="193">
        <f t="shared" si="1"/>
        <v>4</v>
      </c>
    </row>
    <row r="43" spans="1:15" x14ac:dyDescent="0.3">
      <c r="A43" s="200">
        <v>1924</v>
      </c>
      <c r="B43" s="189">
        <v>25039</v>
      </c>
      <c r="C43" s="190">
        <v>66061</v>
      </c>
      <c r="D43" s="190">
        <v>86628</v>
      </c>
      <c r="E43" s="190">
        <v>198416</v>
      </c>
      <c r="F43" s="190">
        <v>14466</v>
      </c>
      <c r="G43" s="190">
        <v>2227</v>
      </c>
      <c r="H43" s="190">
        <v>149063</v>
      </c>
      <c r="I43" s="190">
        <v>28330</v>
      </c>
      <c r="J43" s="190">
        <v>1268</v>
      </c>
      <c r="K43" s="191">
        <v>571498</v>
      </c>
      <c r="L43" s="78"/>
      <c r="M43" s="192" t="s">
        <v>422</v>
      </c>
      <c r="N43" s="191">
        <v>571496</v>
      </c>
      <c r="O43" s="193">
        <f t="shared" si="1"/>
        <v>2</v>
      </c>
    </row>
    <row r="44" spans="1:15" x14ac:dyDescent="0.3">
      <c r="A44" s="200">
        <v>1925</v>
      </c>
      <c r="B44" s="189">
        <v>10682</v>
      </c>
      <c r="C44" s="190">
        <v>24134</v>
      </c>
      <c r="D44" s="190">
        <v>47421</v>
      </c>
      <c r="E44" s="190">
        <v>118234</v>
      </c>
      <c r="F44" s="190">
        <v>7781</v>
      </c>
      <c r="G44" s="190">
        <v>462</v>
      </c>
      <c r="H44" s="190">
        <v>68218</v>
      </c>
      <c r="I44" s="190">
        <v>0</v>
      </c>
      <c r="J44" s="190">
        <v>0</v>
      </c>
      <c r="K44" s="191">
        <v>276932</v>
      </c>
      <c r="L44" s="78"/>
      <c r="M44" s="192" t="s">
        <v>423</v>
      </c>
      <c r="N44" s="191">
        <v>276931</v>
      </c>
      <c r="O44" s="193">
        <f t="shared" si="1"/>
        <v>1</v>
      </c>
    </row>
    <row r="45" spans="1:15" x14ac:dyDescent="0.3">
      <c r="A45" s="200">
        <v>1926</v>
      </c>
      <c r="B45" s="189">
        <v>5606</v>
      </c>
      <c r="C45" s="190">
        <v>13234</v>
      </c>
      <c r="D45" s="190">
        <v>18563</v>
      </c>
      <c r="E45" s="190">
        <v>66747</v>
      </c>
      <c r="F45" s="190">
        <v>736</v>
      </c>
      <c r="G45" s="190">
        <v>1200</v>
      </c>
      <c r="H45" s="190">
        <v>20896</v>
      </c>
      <c r="I45" s="190">
        <v>0</v>
      </c>
      <c r="J45" s="190">
        <v>0</v>
      </c>
      <c r="K45" s="191">
        <v>126982</v>
      </c>
      <c r="L45" s="78"/>
      <c r="M45" s="192" t="s">
        <v>424</v>
      </c>
      <c r="N45" s="191">
        <v>129069</v>
      </c>
      <c r="O45" s="193">
        <f t="shared" si="1"/>
        <v>-2087</v>
      </c>
    </row>
    <row r="46" spans="1:15" x14ac:dyDescent="0.3">
      <c r="A46" s="200">
        <v>1927</v>
      </c>
      <c r="B46" s="189">
        <v>5959</v>
      </c>
      <c r="C46" s="190">
        <v>15764</v>
      </c>
      <c r="D46" s="190">
        <v>23549</v>
      </c>
      <c r="E46" s="190">
        <v>81550</v>
      </c>
      <c r="F46" s="190">
        <v>14243</v>
      </c>
      <c r="G46" s="190">
        <v>30</v>
      </c>
      <c r="H46" s="190">
        <v>26043</v>
      </c>
      <c r="I46" s="190">
        <v>2433</v>
      </c>
      <c r="J46" s="190">
        <v>0</v>
      </c>
      <c r="K46" s="191">
        <v>169571</v>
      </c>
      <c r="L46" s="78"/>
      <c r="M46" s="192" t="s">
        <v>425</v>
      </c>
      <c r="N46" s="191">
        <v>169571</v>
      </c>
      <c r="O46" s="193">
        <f t="shared" si="1"/>
        <v>0</v>
      </c>
    </row>
    <row r="47" spans="1:15" x14ac:dyDescent="0.3">
      <c r="A47" s="200">
        <v>1928</v>
      </c>
      <c r="B47" s="189">
        <v>5209</v>
      </c>
      <c r="C47" s="190">
        <v>9689</v>
      </c>
      <c r="D47" s="190">
        <v>13181</v>
      </c>
      <c r="E47" s="190">
        <v>56016</v>
      </c>
      <c r="F47" s="190">
        <v>3181</v>
      </c>
      <c r="G47" s="190">
        <v>177</v>
      </c>
      <c r="H47" s="190">
        <v>16199</v>
      </c>
      <c r="I47" s="190">
        <v>2143</v>
      </c>
      <c r="J47" s="190">
        <v>5</v>
      </c>
      <c r="K47" s="191">
        <v>105800</v>
      </c>
      <c r="L47" s="78"/>
      <c r="M47" s="192" t="s">
        <v>426</v>
      </c>
      <c r="N47" s="191">
        <v>105800</v>
      </c>
      <c r="O47" s="193">
        <f t="shared" si="1"/>
        <v>0</v>
      </c>
    </row>
    <row r="48" spans="1:15" x14ac:dyDescent="0.3">
      <c r="A48" s="200">
        <v>1929</v>
      </c>
      <c r="B48" s="189">
        <v>3455</v>
      </c>
      <c r="C48" s="190">
        <v>9946</v>
      </c>
      <c r="D48" s="190">
        <v>10638</v>
      </c>
      <c r="E48" s="190">
        <v>44676</v>
      </c>
      <c r="F48" s="190">
        <v>10746</v>
      </c>
      <c r="G48" s="190">
        <v>534</v>
      </c>
      <c r="H48" s="190">
        <v>18213</v>
      </c>
      <c r="I48" s="190">
        <v>3648</v>
      </c>
      <c r="J48" s="190">
        <v>222</v>
      </c>
      <c r="K48" s="191">
        <v>102078</v>
      </c>
      <c r="L48" s="78"/>
      <c r="M48" s="192" t="s">
        <v>427</v>
      </c>
      <c r="N48" s="191">
        <v>102078</v>
      </c>
      <c r="O48" s="193">
        <f t="shared" si="1"/>
        <v>0</v>
      </c>
    </row>
    <row r="49" spans="1:15" x14ac:dyDescent="0.3">
      <c r="A49" s="200">
        <v>1931</v>
      </c>
      <c r="B49" s="189">
        <v>38488</v>
      </c>
      <c r="C49" s="190">
        <v>97387</v>
      </c>
      <c r="D49" s="190">
        <v>222650</v>
      </c>
      <c r="E49" s="190">
        <v>404406</v>
      </c>
      <c r="F49" s="190">
        <v>35445</v>
      </c>
      <c r="G49" s="190">
        <v>2587</v>
      </c>
      <c r="H49" s="190">
        <v>225033</v>
      </c>
      <c r="I49" s="190">
        <v>23255</v>
      </c>
      <c r="J49" s="190">
        <v>42</v>
      </c>
      <c r="K49" s="191">
        <v>1049293</v>
      </c>
      <c r="L49" s="78"/>
      <c r="M49" s="192" t="s">
        <v>428</v>
      </c>
      <c r="N49" s="191">
        <v>1049290</v>
      </c>
      <c r="O49" s="193">
        <f t="shared" si="1"/>
        <v>3</v>
      </c>
    </row>
    <row r="50" spans="1:15" x14ac:dyDescent="0.3">
      <c r="A50" s="200">
        <v>1933</v>
      </c>
      <c r="B50" s="189">
        <v>19033</v>
      </c>
      <c r="C50" s="190">
        <v>37601</v>
      </c>
      <c r="D50" s="190">
        <v>62470</v>
      </c>
      <c r="E50" s="190">
        <v>215377</v>
      </c>
      <c r="F50" s="190">
        <v>3852</v>
      </c>
      <c r="G50" s="190">
        <v>0</v>
      </c>
      <c r="H50" s="190">
        <v>99419</v>
      </c>
      <c r="I50" s="190">
        <v>23147</v>
      </c>
      <c r="J50" s="190">
        <v>0</v>
      </c>
      <c r="K50" s="191">
        <v>460899</v>
      </c>
      <c r="L50" s="78"/>
      <c r="M50" s="192" t="s">
        <v>429</v>
      </c>
      <c r="N50" s="191">
        <v>453742</v>
      </c>
      <c r="O50" s="193">
        <f t="shared" si="1"/>
        <v>7157</v>
      </c>
    </row>
    <row r="51" spans="1:15" x14ac:dyDescent="0.3">
      <c r="A51" s="200">
        <v>1936</v>
      </c>
      <c r="B51" s="189">
        <v>8309</v>
      </c>
      <c r="C51" s="190">
        <v>20590</v>
      </c>
      <c r="D51" s="190">
        <v>30308</v>
      </c>
      <c r="E51" s="190">
        <v>114705</v>
      </c>
      <c r="F51" s="190">
        <v>450</v>
      </c>
      <c r="G51" s="190">
        <v>0</v>
      </c>
      <c r="H51" s="190">
        <v>41928</v>
      </c>
      <c r="I51" s="190">
        <v>8898</v>
      </c>
      <c r="J51" s="190">
        <v>0</v>
      </c>
      <c r="K51" s="191">
        <v>225188</v>
      </c>
      <c r="L51" s="78"/>
      <c r="M51" s="192" t="s">
        <v>430</v>
      </c>
      <c r="N51" s="191">
        <v>225187</v>
      </c>
      <c r="O51" s="193">
        <f t="shared" si="1"/>
        <v>1</v>
      </c>
    </row>
    <row r="52" spans="1:15" x14ac:dyDescent="0.3">
      <c r="A52" s="200">
        <v>1938</v>
      </c>
      <c r="B52" s="189">
        <v>8429</v>
      </c>
      <c r="C52" s="190">
        <v>18595</v>
      </c>
      <c r="D52" s="190">
        <v>55540</v>
      </c>
      <c r="E52" s="190">
        <v>150348</v>
      </c>
      <c r="F52" s="190">
        <v>2918</v>
      </c>
      <c r="G52" s="190">
        <v>0</v>
      </c>
      <c r="H52" s="190">
        <v>53448</v>
      </c>
      <c r="I52" s="190">
        <v>6434</v>
      </c>
      <c r="J52" s="190">
        <v>0</v>
      </c>
      <c r="K52" s="191">
        <v>295712</v>
      </c>
      <c r="L52" s="78"/>
      <c r="M52" s="192" t="s">
        <v>431</v>
      </c>
      <c r="N52" s="191">
        <v>295711</v>
      </c>
      <c r="O52" s="193">
        <f t="shared" si="1"/>
        <v>1</v>
      </c>
    </row>
    <row r="53" spans="1:15" x14ac:dyDescent="0.3">
      <c r="A53" s="200">
        <v>1939</v>
      </c>
      <c r="B53" s="189">
        <v>4962</v>
      </c>
      <c r="C53" s="190">
        <v>18024</v>
      </c>
      <c r="D53" s="190">
        <v>37059</v>
      </c>
      <c r="E53" s="190">
        <v>91662</v>
      </c>
      <c r="F53" s="190">
        <v>1063</v>
      </c>
      <c r="G53" s="190">
        <v>1706</v>
      </c>
      <c r="H53" s="190">
        <v>33868</v>
      </c>
      <c r="I53" s="190">
        <v>8628</v>
      </c>
      <c r="J53" s="190">
        <v>7176</v>
      </c>
      <c r="K53" s="191">
        <v>204148</v>
      </c>
      <c r="L53" s="78"/>
      <c r="M53" s="192" t="s">
        <v>432</v>
      </c>
      <c r="N53" s="191">
        <v>204148</v>
      </c>
      <c r="O53" s="193">
        <f t="shared" si="1"/>
        <v>0</v>
      </c>
    </row>
    <row r="54" spans="1:15" x14ac:dyDescent="0.3">
      <c r="A54" s="200">
        <v>1940</v>
      </c>
      <c r="B54" s="189">
        <v>6667</v>
      </c>
      <c r="C54" s="190">
        <v>12455</v>
      </c>
      <c r="D54" s="190">
        <v>48475</v>
      </c>
      <c r="E54" s="190">
        <v>105864</v>
      </c>
      <c r="F54" s="190">
        <v>1842</v>
      </c>
      <c r="G54" s="190">
        <v>0</v>
      </c>
      <c r="H54" s="190">
        <v>39815</v>
      </c>
      <c r="I54" s="190">
        <v>6799</v>
      </c>
      <c r="J54" s="190">
        <v>1996</v>
      </c>
      <c r="K54" s="191">
        <v>223913</v>
      </c>
      <c r="L54" s="78"/>
      <c r="M54" s="192" t="s">
        <v>433</v>
      </c>
      <c r="N54" s="191">
        <v>223912</v>
      </c>
      <c r="O54" s="193">
        <f t="shared" si="1"/>
        <v>1</v>
      </c>
    </row>
    <row r="55" spans="1:15" x14ac:dyDescent="0.3">
      <c r="A55" s="200">
        <v>1941</v>
      </c>
      <c r="B55" s="189">
        <v>8686</v>
      </c>
      <c r="C55" s="190">
        <v>27567</v>
      </c>
      <c r="D55" s="190">
        <v>31707</v>
      </c>
      <c r="E55" s="190">
        <v>132075</v>
      </c>
      <c r="F55" s="190">
        <v>4309</v>
      </c>
      <c r="G55" s="190">
        <v>1900</v>
      </c>
      <c r="H55" s="190">
        <v>49099</v>
      </c>
      <c r="I55" s="190">
        <v>7394</v>
      </c>
      <c r="J55" s="190">
        <v>0</v>
      </c>
      <c r="K55" s="191">
        <v>262737</v>
      </c>
      <c r="L55" s="78"/>
      <c r="M55" s="192" t="s">
        <v>434</v>
      </c>
      <c r="N55" s="191">
        <v>262743</v>
      </c>
      <c r="O55" s="193">
        <f t="shared" si="1"/>
        <v>-6</v>
      </c>
    </row>
    <row r="56" spans="1:15" x14ac:dyDescent="0.3">
      <c r="A56" s="200">
        <v>1942</v>
      </c>
      <c r="B56" s="189">
        <v>19108</v>
      </c>
      <c r="C56" s="190">
        <v>25322</v>
      </c>
      <c r="D56" s="190">
        <v>94267</v>
      </c>
      <c r="E56" s="190">
        <v>177735</v>
      </c>
      <c r="F56" s="190">
        <v>12711</v>
      </c>
      <c r="G56" s="190">
        <v>6014</v>
      </c>
      <c r="H56" s="190">
        <v>86034</v>
      </c>
      <c r="I56" s="190">
        <v>15361</v>
      </c>
      <c r="J56" s="190">
        <v>0</v>
      </c>
      <c r="K56" s="191">
        <v>436552</v>
      </c>
      <c r="L56" s="78"/>
      <c r="M56" s="192" t="s">
        <v>435</v>
      </c>
      <c r="N56" s="191">
        <v>436551</v>
      </c>
      <c r="O56" s="193">
        <f t="shared" si="1"/>
        <v>1</v>
      </c>
    </row>
    <row r="57" spans="1:15" x14ac:dyDescent="0.3">
      <c r="A57" s="200">
        <v>1943</v>
      </c>
      <c r="B57" s="189">
        <v>4896</v>
      </c>
      <c r="C57" s="190">
        <v>12695</v>
      </c>
      <c r="D57" s="190">
        <v>26878</v>
      </c>
      <c r="E57" s="190">
        <v>83018</v>
      </c>
      <c r="F57" s="190">
        <v>650</v>
      </c>
      <c r="G57" s="190">
        <v>56</v>
      </c>
      <c r="H57" s="190">
        <v>21325</v>
      </c>
      <c r="I57" s="190">
        <v>6541</v>
      </c>
      <c r="J57" s="190">
        <v>920</v>
      </c>
      <c r="K57" s="191">
        <v>156979</v>
      </c>
      <c r="L57" s="78"/>
      <c r="M57" s="192" t="s">
        <v>436</v>
      </c>
      <c r="N57" s="191">
        <v>156979</v>
      </c>
      <c r="O57" s="193">
        <f t="shared" si="1"/>
        <v>0</v>
      </c>
    </row>
    <row r="58" spans="1:15" x14ac:dyDescent="0.3">
      <c r="A58" s="201" t="s">
        <v>175</v>
      </c>
      <c r="B58" s="189">
        <v>537775</v>
      </c>
      <c r="C58" s="190">
        <v>1314701</v>
      </c>
      <c r="D58" s="190">
        <v>2016602</v>
      </c>
      <c r="E58" s="190">
        <v>4990857</v>
      </c>
      <c r="F58" s="190">
        <v>503687</v>
      </c>
      <c r="G58" s="190">
        <v>38598</v>
      </c>
      <c r="H58" s="190">
        <v>3472778</v>
      </c>
      <c r="I58" s="190">
        <v>380639</v>
      </c>
      <c r="J58" s="190">
        <v>26553</v>
      </c>
      <c r="K58" s="191">
        <v>13282190</v>
      </c>
      <c r="L58" s="78"/>
      <c r="M58" s="192" t="s">
        <v>437</v>
      </c>
      <c r="N58" s="191">
        <v>13281997</v>
      </c>
      <c r="O58" s="193">
        <f t="shared" si="1"/>
        <v>193</v>
      </c>
    </row>
    <row r="59" spans="1:15" x14ac:dyDescent="0.3">
      <c r="A59" s="199" t="s">
        <v>176</v>
      </c>
      <c r="B59" s="189">
        <v>672721</v>
      </c>
      <c r="C59" s="190">
        <v>1761008</v>
      </c>
      <c r="D59" s="190">
        <v>2253232</v>
      </c>
      <c r="E59" s="190">
        <v>6876433</v>
      </c>
      <c r="F59" s="190">
        <v>567504</v>
      </c>
      <c r="G59" s="190">
        <v>113541</v>
      </c>
      <c r="H59" s="190">
        <v>3973353</v>
      </c>
      <c r="I59" s="190">
        <v>460919</v>
      </c>
      <c r="J59" s="190">
        <v>97629</v>
      </c>
      <c r="K59" s="191">
        <v>16776340</v>
      </c>
      <c r="L59" s="78"/>
      <c r="M59" s="192" t="s">
        <v>438</v>
      </c>
      <c r="N59" s="191">
        <v>16782574</v>
      </c>
      <c r="O59" s="193">
        <f t="shared" si="1"/>
        <v>-6234</v>
      </c>
    </row>
    <row r="60" spans="1:15" x14ac:dyDescent="0.3">
      <c r="A60" s="199" t="s">
        <v>177</v>
      </c>
      <c r="B60" s="189">
        <v>436134</v>
      </c>
      <c r="C60" s="190">
        <v>1288637</v>
      </c>
      <c r="D60" s="190">
        <v>1628810</v>
      </c>
      <c r="E60" s="190">
        <v>4039971</v>
      </c>
      <c r="F60" s="190">
        <v>380613</v>
      </c>
      <c r="G60" s="190">
        <v>98995</v>
      </c>
      <c r="H60" s="190">
        <v>2610677</v>
      </c>
      <c r="I60" s="190">
        <v>803152</v>
      </c>
      <c r="J60" s="190">
        <v>287407</v>
      </c>
      <c r="K60" s="191">
        <v>11574396</v>
      </c>
      <c r="L60" s="78"/>
      <c r="M60" s="192" t="s">
        <v>439</v>
      </c>
      <c r="N60" s="191">
        <v>11607733</v>
      </c>
      <c r="O60" s="193">
        <f t="shared" si="1"/>
        <v>-33337</v>
      </c>
    </row>
    <row r="61" spans="1:15" x14ac:dyDescent="0.3">
      <c r="A61" s="199" t="s">
        <v>377</v>
      </c>
      <c r="B61" s="189">
        <v>80382</v>
      </c>
      <c r="C61" s="190">
        <v>146334</v>
      </c>
      <c r="D61" s="190">
        <v>276516</v>
      </c>
      <c r="E61" s="190">
        <v>985298</v>
      </c>
      <c r="F61" s="190">
        <v>46321</v>
      </c>
      <c r="G61" s="190">
        <v>18288</v>
      </c>
      <c r="H61" s="190">
        <v>391591</v>
      </c>
      <c r="I61" s="190">
        <v>29193</v>
      </c>
      <c r="J61" s="190">
        <v>5613</v>
      </c>
      <c r="K61" s="191">
        <v>1979536</v>
      </c>
      <c r="L61" s="78"/>
      <c r="M61" s="192" t="s">
        <v>440</v>
      </c>
      <c r="N61" s="191">
        <v>1980105</v>
      </c>
      <c r="O61" s="193">
        <f t="shared" si="1"/>
        <v>-569</v>
      </c>
    </row>
    <row r="62" spans="1:15" x14ac:dyDescent="0.3">
      <c r="A62" s="199" t="s">
        <v>178</v>
      </c>
      <c r="B62" s="189">
        <v>217125</v>
      </c>
      <c r="C62" s="190">
        <v>525051</v>
      </c>
      <c r="D62" s="190">
        <v>766376</v>
      </c>
      <c r="E62" s="190">
        <v>2590142</v>
      </c>
      <c r="F62" s="190">
        <v>171623</v>
      </c>
      <c r="G62" s="190">
        <v>37886</v>
      </c>
      <c r="H62" s="190">
        <v>1037745</v>
      </c>
      <c r="I62" s="190">
        <v>151261</v>
      </c>
      <c r="J62" s="190">
        <v>41938</v>
      </c>
      <c r="K62" s="191">
        <v>5539147</v>
      </c>
      <c r="L62" s="78"/>
      <c r="M62" s="192" t="s">
        <v>441</v>
      </c>
      <c r="N62" s="191">
        <v>5549638</v>
      </c>
      <c r="O62" s="193">
        <f t="shared" si="1"/>
        <v>-10491</v>
      </c>
    </row>
    <row r="63" spans="1:15" x14ac:dyDescent="0.3">
      <c r="A63" s="199" t="s">
        <v>179</v>
      </c>
      <c r="B63" s="189">
        <v>328416</v>
      </c>
      <c r="C63" s="190">
        <v>871764</v>
      </c>
      <c r="D63" s="190">
        <v>1474760</v>
      </c>
      <c r="E63" s="190">
        <v>3553475</v>
      </c>
      <c r="F63" s="190">
        <v>365208</v>
      </c>
      <c r="G63" s="190">
        <v>142122</v>
      </c>
      <c r="H63" s="190">
        <v>1495915</v>
      </c>
      <c r="I63" s="190">
        <v>528819</v>
      </c>
      <c r="J63" s="190">
        <v>285527</v>
      </c>
      <c r="K63" s="191">
        <v>9046006</v>
      </c>
      <c r="L63" s="78"/>
      <c r="M63" s="192" t="s">
        <v>442</v>
      </c>
      <c r="N63" s="191">
        <v>9060242</v>
      </c>
      <c r="O63" s="193">
        <f t="shared" si="1"/>
        <v>-14236</v>
      </c>
    </row>
    <row r="64" spans="1:15" x14ac:dyDescent="0.3">
      <c r="A64" s="199" t="s">
        <v>180</v>
      </c>
      <c r="B64" s="189">
        <v>1235608</v>
      </c>
      <c r="C64" s="190">
        <v>3369984</v>
      </c>
      <c r="D64" s="190">
        <v>4946539</v>
      </c>
      <c r="E64" s="190">
        <v>12686421</v>
      </c>
      <c r="F64" s="190">
        <v>1325944</v>
      </c>
      <c r="G64" s="190">
        <v>124215</v>
      </c>
      <c r="H64" s="190">
        <v>8936368</v>
      </c>
      <c r="I64" s="190">
        <v>1163798</v>
      </c>
      <c r="J64" s="190">
        <v>81198</v>
      </c>
      <c r="K64" s="191">
        <v>33870075</v>
      </c>
      <c r="L64" s="78"/>
      <c r="M64" s="192" t="s">
        <v>443</v>
      </c>
      <c r="N64" s="191">
        <v>33862083</v>
      </c>
      <c r="O64" s="193">
        <f t="shared" si="1"/>
        <v>7992</v>
      </c>
    </row>
    <row r="65" spans="1:15" x14ac:dyDescent="0.3">
      <c r="A65" s="199" t="s">
        <v>181</v>
      </c>
      <c r="B65" s="189">
        <v>542578</v>
      </c>
      <c r="C65" s="190">
        <v>1560470</v>
      </c>
      <c r="D65" s="190">
        <v>2343406</v>
      </c>
      <c r="E65" s="190">
        <v>5097575</v>
      </c>
      <c r="F65" s="190">
        <v>528926</v>
      </c>
      <c r="G65" s="190">
        <v>92989</v>
      </c>
      <c r="H65" s="190">
        <v>3673424</v>
      </c>
      <c r="I65" s="190">
        <v>1316627</v>
      </c>
      <c r="J65" s="190">
        <v>252195</v>
      </c>
      <c r="K65" s="191">
        <v>15408190</v>
      </c>
      <c r="L65" s="78"/>
      <c r="M65" s="192" t="s">
        <v>444</v>
      </c>
      <c r="N65" s="191">
        <v>15411839</v>
      </c>
      <c r="O65" s="193">
        <f t="shared" si="1"/>
        <v>-3649</v>
      </c>
    </row>
    <row r="66" spans="1:15" x14ac:dyDescent="0.3">
      <c r="A66" s="199" t="s">
        <v>182</v>
      </c>
      <c r="B66" s="189">
        <v>5054091</v>
      </c>
      <c r="C66" s="190">
        <v>14414235</v>
      </c>
      <c r="D66" s="190">
        <v>15467344</v>
      </c>
      <c r="E66" s="190">
        <v>41424994</v>
      </c>
      <c r="F66" s="190">
        <v>3724378</v>
      </c>
      <c r="G66" s="190">
        <v>414427</v>
      </c>
      <c r="H66" s="190">
        <v>46920960</v>
      </c>
      <c r="I66" s="190">
        <v>2518434</v>
      </c>
      <c r="J66" s="190">
        <v>52837</v>
      </c>
      <c r="K66" s="191">
        <v>129991700</v>
      </c>
      <c r="L66" s="78"/>
      <c r="M66" s="192" t="s">
        <v>445</v>
      </c>
      <c r="N66" s="191">
        <v>130086912</v>
      </c>
      <c r="O66" s="193">
        <f t="shared" si="1"/>
        <v>-95212</v>
      </c>
    </row>
    <row r="67" spans="1:15" ht="15" thickBot="1" x14ac:dyDescent="0.35">
      <c r="A67" s="199" t="s">
        <v>378</v>
      </c>
      <c r="B67" s="189">
        <v>75623</v>
      </c>
      <c r="C67" s="190">
        <v>269415</v>
      </c>
      <c r="D67" s="190">
        <v>371125</v>
      </c>
      <c r="E67" s="190">
        <v>539203</v>
      </c>
      <c r="F67" s="190">
        <v>68027</v>
      </c>
      <c r="G67" s="190">
        <v>35645</v>
      </c>
      <c r="H67" s="190">
        <v>424150</v>
      </c>
      <c r="I67" s="190">
        <v>586434</v>
      </c>
      <c r="J67" s="190">
        <v>301605</v>
      </c>
      <c r="K67" s="191">
        <v>2671227</v>
      </c>
      <c r="L67" s="78"/>
      <c r="M67" s="194" t="s">
        <v>446</v>
      </c>
      <c r="N67" s="195">
        <v>2688594</v>
      </c>
      <c r="O67" s="193">
        <f t="shared" si="1"/>
        <v>-17367</v>
      </c>
    </row>
    <row r="68" spans="1:15" ht="115.2" x14ac:dyDescent="0.3">
      <c r="A68" s="183"/>
      <c r="B68" s="81" t="s">
        <v>450</v>
      </c>
      <c r="C68" s="81" t="s">
        <v>451</v>
      </c>
      <c r="D68" s="81" t="s">
        <v>452</v>
      </c>
      <c r="E68" s="81" t="s">
        <v>453</v>
      </c>
      <c r="F68" s="81" t="s">
        <v>454</v>
      </c>
      <c r="G68" s="81" t="s">
        <v>455</v>
      </c>
      <c r="H68" s="81" t="s">
        <v>456</v>
      </c>
      <c r="I68" s="81" t="s">
        <v>457</v>
      </c>
      <c r="J68" s="196"/>
      <c r="K68" s="197"/>
      <c r="L68" s="78"/>
      <c r="M68" s="78"/>
      <c r="N68" s="78"/>
      <c r="O68" s="78"/>
    </row>
    <row r="69" spans="1:15" x14ac:dyDescent="0.3">
      <c r="A69" s="199" t="s">
        <v>173</v>
      </c>
      <c r="B69" s="78">
        <v>32.5</v>
      </c>
      <c r="C69" s="78">
        <v>33.700000000000003</v>
      </c>
      <c r="D69" s="78">
        <v>3.2</v>
      </c>
      <c r="E69" s="78">
        <v>2.9</v>
      </c>
      <c r="F69" s="78">
        <v>14.3</v>
      </c>
      <c r="G69" s="78">
        <v>13.1</v>
      </c>
      <c r="H69" s="79">
        <v>0</v>
      </c>
      <c r="I69" s="78">
        <f t="shared" ref="I69:I103" si="2">SUM(B69:H69)</f>
        <v>99.7</v>
      </c>
      <c r="J69" s="198"/>
      <c r="K69" s="198"/>
      <c r="L69" s="78"/>
      <c r="M69" s="78"/>
      <c r="N69" s="78"/>
      <c r="O69" s="78"/>
    </row>
    <row r="70" spans="1:15" x14ac:dyDescent="0.3">
      <c r="A70" s="200">
        <v>1902</v>
      </c>
      <c r="B70" s="78">
        <v>33.9</v>
      </c>
      <c r="C70" s="78">
        <v>32.1</v>
      </c>
      <c r="D70" s="78">
        <v>2.7</v>
      </c>
      <c r="E70" s="78">
        <v>2.7</v>
      </c>
      <c r="F70" s="78">
        <v>15.4</v>
      </c>
      <c r="G70" s="78">
        <v>13.2</v>
      </c>
      <c r="H70" s="78">
        <v>0</v>
      </c>
      <c r="I70" s="78">
        <f t="shared" si="2"/>
        <v>100.00000000000001</v>
      </c>
      <c r="J70" s="198"/>
      <c r="K70" s="198"/>
      <c r="L70" s="78"/>
      <c r="M70" s="78"/>
      <c r="N70" s="78"/>
      <c r="O70" s="78"/>
    </row>
    <row r="71" spans="1:15" x14ac:dyDescent="0.3">
      <c r="A71" s="200">
        <v>1903</v>
      </c>
      <c r="B71" s="78">
        <v>28.1</v>
      </c>
      <c r="C71" s="78">
        <v>35.200000000000003</v>
      </c>
      <c r="D71" s="78">
        <v>3.7</v>
      </c>
      <c r="E71" s="78">
        <v>3.5</v>
      </c>
      <c r="F71" s="78">
        <v>15.9</v>
      </c>
      <c r="G71" s="78">
        <v>13.6</v>
      </c>
      <c r="H71" s="78">
        <v>0</v>
      </c>
      <c r="I71" s="78">
        <f t="shared" si="2"/>
        <v>100</v>
      </c>
      <c r="J71" s="198"/>
      <c r="K71" s="198"/>
      <c r="L71" s="78"/>
      <c r="M71" s="78"/>
      <c r="N71" s="78"/>
      <c r="O71" s="78"/>
    </row>
    <row r="72" spans="1:15" x14ac:dyDescent="0.3">
      <c r="A72" s="200">
        <v>1911</v>
      </c>
      <c r="B72" s="78">
        <v>13.8</v>
      </c>
      <c r="C72" s="78">
        <v>35.5</v>
      </c>
      <c r="D72" s="78">
        <v>30.2</v>
      </c>
      <c r="E72" s="78">
        <v>0.1</v>
      </c>
      <c r="F72" s="78">
        <v>9.1</v>
      </c>
      <c r="G72" s="78">
        <v>11.4</v>
      </c>
      <c r="H72" s="78">
        <v>0</v>
      </c>
      <c r="I72" s="78">
        <f t="shared" si="2"/>
        <v>100.1</v>
      </c>
      <c r="J72" s="198"/>
      <c r="K72" s="198"/>
      <c r="L72" s="78"/>
      <c r="M72" s="78"/>
      <c r="N72" s="78"/>
      <c r="O72" s="78"/>
    </row>
    <row r="73" spans="1:15" x14ac:dyDescent="0.3">
      <c r="A73" s="200">
        <v>1913</v>
      </c>
      <c r="B73" s="78">
        <v>21.7</v>
      </c>
      <c r="C73" s="78">
        <v>48.3</v>
      </c>
      <c r="D73" s="78">
        <v>2.5</v>
      </c>
      <c r="E73" s="78">
        <v>0.4</v>
      </c>
      <c r="F73" s="78">
        <v>10.6</v>
      </c>
      <c r="G73" s="78">
        <v>16.100000000000001</v>
      </c>
      <c r="H73" s="78">
        <v>0.3</v>
      </c>
      <c r="I73" s="78">
        <f t="shared" si="2"/>
        <v>99.899999999999991</v>
      </c>
      <c r="J73" s="198"/>
      <c r="K73" s="198"/>
      <c r="L73" s="78"/>
      <c r="M73" s="78"/>
      <c r="N73" s="78"/>
      <c r="O73" s="78"/>
    </row>
    <row r="74" spans="1:15" x14ac:dyDescent="0.3">
      <c r="A74" s="200">
        <v>1917</v>
      </c>
      <c r="B74" s="78">
        <v>16.600000000000001</v>
      </c>
      <c r="C74" s="78">
        <v>48</v>
      </c>
      <c r="D74" s="78">
        <v>5.8</v>
      </c>
      <c r="E74" s="78">
        <v>1.2</v>
      </c>
      <c r="F74" s="78">
        <v>9</v>
      </c>
      <c r="G74" s="78">
        <v>19.399999999999999</v>
      </c>
      <c r="H74" s="78">
        <v>0</v>
      </c>
      <c r="I74" s="78">
        <f t="shared" si="2"/>
        <v>100</v>
      </c>
      <c r="J74" s="198"/>
      <c r="K74" s="198"/>
      <c r="L74" s="78"/>
      <c r="M74" s="78"/>
      <c r="N74" s="78"/>
      <c r="O74" s="78"/>
    </row>
    <row r="75" spans="1:15" x14ac:dyDescent="0.3">
      <c r="A75" s="200">
        <v>1919</v>
      </c>
      <c r="B75" s="78">
        <v>15.6</v>
      </c>
      <c r="C75" s="78">
        <v>51.7</v>
      </c>
      <c r="D75" s="78">
        <v>4.3</v>
      </c>
      <c r="E75" s="78">
        <v>0.2</v>
      </c>
      <c r="F75" s="78">
        <v>10.8</v>
      </c>
      <c r="G75" s="78">
        <v>17.3</v>
      </c>
      <c r="H75" s="78">
        <v>0</v>
      </c>
      <c r="I75" s="78">
        <f t="shared" si="2"/>
        <v>99.899999999999991</v>
      </c>
      <c r="J75" s="198"/>
      <c r="K75" s="198"/>
      <c r="L75" s="78"/>
      <c r="M75" s="78"/>
      <c r="N75" s="78"/>
      <c r="O75" s="78"/>
    </row>
    <row r="76" spans="1:15" x14ac:dyDescent="0.3">
      <c r="A76" s="200">
        <v>1920</v>
      </c>
      <c r="B76" s="78">
        <v>13.3</v>
      </c>
      <c r="C76" s="78">
        <v>51.8</v>
      </c>
      <c r="D76" s="78">
        <v>5.9</v>
      </c>
      <c r="E76" s="78">
        <v>0.2</v>
      </c>
      <c r="F76" s="78">
        <v>10.7</v>
      </c>
      <c r="G76" s="78">
        <v>18</v>
      </c>
      <c r="H76" s="78">
        <v>0</v>
      </c>
      <c r="I76" s="78">
        <f t="shared" si="2"/>
        <v>99.9</v>
      </c>
      <c r="J76" s="198"/>
      <c r="K76" s="198"/>
      <c r="L76" s="78"/>
      <c r="M76" s="78"/>
      <c r="N76" s="78"/>
      <c r="O76" s="78"/>
    </row>
    <row r="77" spans="1:15" x14ac:dyDescent="0.3">
      <c r="A77" s="200">
        <v>1922</v>
      </c>
      <c r="B77" s="78">
        <v>24.4</v>
      </c>
      <c r="C77" s="78">
        <v>30.9</v>
      </c>
      <c r="D77" s="78">
        <v>4</v>
      </c>
      <c r="E77" s="78">
        <v>7</v>
      </c>
      <c r="F77" s="78">
        <v>13.1</v>
      </c>
      <c r="G77" s="78">
        <v>16.399999999999999</v>
      </c>
      <c r="H77" s="78">
        <v>4.0999999999999996</v>
      </c>
      <c r="I77" s="78">
        <f t="shared" si="2"/>
        <v>99.899999999999977</v>
      </c>
      <c r="J77" s="198"/>
      <c r="K77" s="198"/>
      <c r="L77" s="78"/>
      <c r="M77" s="78"/>
      <c r="N77" s="78"/>
      <c r="O77" s="78"/>
    </row>
    <row r="78" spans="1:15" x14ac:dyDescent="0.3">
      <c r="A78" s="200">
        <v>1923</v>
      </c>
      <c r="B78" s="78">
        <v>13.5</v>
      </c>
      <c r="C78" s="78">
        <v>33.6</v>
      </c>
      <c r="D78" s="78">
        <v>8</v>
      </c>
      <c r="E78" s="78">
        <v>1.6</v>
      </c>
      <c r="F78" s="78">
        <v>9.1</v>
      </c>
      <c r="G78" s="78">
        <v>34.299999999999997</v>
      </c>
      <c r="H78" s="78">
        <v>0</v>
      </c>
      <c r="I78" s="78">
        <f t="shared" si="2"/>
        <v>100.1</v>
      </c>
      <c r="J78" s="198"/>
      <c r="K78" s="198"/>
      <c r="L78" s="78"/>
      <c r="M78" s="78"/>
      <c r="N78" s="78"/>
      <c r="O78" s="78"/>
    </row>
    <row r="79" spans="1:15" x14ac:dyDescent="0.3">
      <c r="A79" s="200">
        <v>1924</v>
      </c>
      <c r="B79" s="78">
        <v>26.1</v>
      </c>
      <c r="C79" s="78">
        <v>34.700000000000003</v>
      </c>
      <c r="D79" s="78">
        <v>2.5</v>
      </c>
      <c r="E79" s="78">
        <v>5</v>
      </c>
      <c r="F79" s="78">
        <v>15.9</v>
      </c>
      <c r="G79" s="78">
        <v>15.8</v>
      </c>
      <c r="H79" s="78">
        <v>0</v>
      </c>
      <c r="I79" s="78">
        <f t="shared" si="2"/>
        <v>100.00000000000001</v>
      </c>
      <c r="J79" s="198"/>
      <c r="K79" s="198"/>
      <c r="L79" s="78"/>
      <c r="M79" s="78"/>
      <c r="N79" s="78"/>
      <c r="O79" s="78"/>
    </row>
    <row r="80" spans="1:15" x14ac:dyDescent="0.3">
      <c r="A80" s="200">
        <v>1925</v>
      </c>
      <c r="B80" s="78">
        <v>24.6</v>
      </c>
      <c r="C80" s="78">
        <v>42.7</v>
      </c>
      <c r="D80" s="78">
        <v>2.8</v>
      </c>
      <c r="E80" s="78">
        <v>0</v>
      </c>
      <c r="F80" s="78">
        <v>12.6</v>
      </c>
      <c r="G80" s="78">
        <v>17.3</v>
      </c>
      <c r="H80" s="78">
        <v>0</v>
      </c>
      <c r="I80" s="78">
        <f t="shared" si="2"/>
        <v>100</v>
      </c>
      <c r="J80" s="198"/>
      <c r="K80" s="198"/>
      <c r="L80" s="78"/>
      <c r="M80" s="78"/>
      <c r="N80" s="78"/>
      <c r="O80" s="78"/>
    </row>
    <row r="81" spans="1:15" x14ac:dyDescent="0.3">
      <c r="A81" s="200">
        <v>1926</v>
      </c>
      <c r="B81" s="78">
        <v>16.2</v>
      </c>
      <c r="C81" s="78">
        <v>51.7</v>
      </c>
      <c r="D81" s="78">
        <v>0.6</v>
      </c>
      <c r="E81" s="78">
        <v>0</v>
      </c>
      <c r="F81" s="78">
        <v>14.6</v>
      </c>
      <c r="G81" s="78">
        <v>16.899999999999999</v>
      </c>
      <c r="H81" s="78">
        <v>0</v>
      </c>
      <c r="I81" s="78">
        <f t="shared" si="2"/>
        <v>100</v>
      </c>
      <c r="J81" s="198"/>
      <c r="K81" s="198"/>
      <c r="L81" s="78"/>
      <c r="M81" s="78"/>
      <c r="N81" s="78"/>
      <c r="O81" s="78"/>
    </row>
    <row r="82" spans="1:15" x14ac:dyDescent="0.3">
      <c r="A82" s="200">
        <v>1927</v>
      </c>
      <c r="B82" s="78">
        <v>15.4</v>
      </c>
      <c r="C82" s="78">
        <v>48.1</v>
      </c>
      <c r="D82" s="78">
        <v>8.4</v>
      </c>
      <c r="E82" s="78">
        <v>1.4</v>
      </c>
      <c r="F82" s="78">
        <v>12.8</v>
      </c>
      <c r="G82" s="78">
        <v>13.9</v>
      </c>
      <c r="H82" s="78">
        <v>0</v>
      </c>
      <c r="I82" s="78">
        <f t="shared" si="2"/>
        <v>100.00000000000001</v>
      </c>
      <c r="J82" s="198"/>
      <c r="K82" s="198"/>
      <c r="L82" s="78"/>
      <c r="M82" s="78"/>
      <c r="N82" s="78"/>
      <c r="O82" s="78"/>
    </row>
    <row r="83" spans="1:15" x14ac:dyDescent="0.3">
      <c r="A83" s="200">
        <v>1928</v>
      </c>
      <c r="B83" s="78">
        <v>15.3</v>
      </c>
      <c r="C83" s="78">
        <v>52.9</v>
      </c>
      <c r="D83" s="78">
        <v>3</v>
      </c>
      <c r="E83" s="78">
        <v>2</v>
      </c>
      <c r="F83" s="78">
        <v>14.1</v>
      </c>
      <c r="G83" s="78">
        <v>12.5</v>
      </c>
      <c r="H83" s="78">
        <v>0.2</v>
      </c>
      <c r="I83" s="78">
        <f t="shared" si="2"/>
        <v>100</v>
      </c>
      <c r="J83" s="198"/>
      <c r="K83" s="198"/>
      <c r="L83" s="78"/>
      <c r="M83" s="78"/>
      <c r="N83" s="78"/>
      <c r="O83" s="78"/>
    </row>
    <row r="84" spans="1:15" x14ac:dyDescent="0.3">
      <c r="A84" s="200">
        <v>1929</v>
      </c>
      <c r="B84" s="78">
        <v>17.8</v>
      </c>
      <c r="C84" s="78">
        <v>43.8</v>
      </c>
      <c r="D84" s="78">
        <v>10.5</v>
      </c>
      <c r="E84" s="78">
        <v>3.6</v>
      </c>
      <c r="F84" s="78">
        <v>12.5</v>
      </c>
      <c r="G84" s="78">
        <v>11.2</v>
      </c>
      <c r="H84" s="78">
        <v>0.6</v>
      </c>
      <c r="I84" s="78">
        <f t="shared" si="2"/>
        <v>99.999999999999986</v>
      </c>
      <c r="J84" s="198"/>
      <c r="K84" s="198"/>
      <c r="L84" s="78"/>
      <c r="M84" s="78"/>
      <c r="N84" s="78"/>
      <c r="O84" s="78"/>
    </row>
    <row r="85" spans="1:15" x14ac:dyDescent="0.3">
      <c r="A85" s="200">
        <v>1931</v>
      </c>
      <c r="B85" s="78">
        <v>21.4</v>
      </c>
      <c r="C85" s="78">
        <v>38.5</v>
      </c>
      <c r="D85" s="78">
        <v>3.4</v>
      </c>
      <c r="E85" s="78">
        <v>2.2000000000000002</v>
      </c>
      <c r="F85" s="78">
        <v>12.9</v>
      </c>
      <c r="G85" s="78">
        <v>21.5</v>
      </c>
      <c r="H85" s="78">
        <v>0</v>
      </c>
      <c r="I85" s="78">
        <f t="shared" si="2"/>
        <v>99.9</v>
      </c>
      <c r="J85" s="198"/>
      <c r="K85" s="198"/>
      <c r="L85" s="78"/>
      <c r="M85" s="78"/>
      <c r="N85" s="78"/>
      <c r="O85" s="78"/>
    </row>
    <row r="86" spans="1:15" x14ac:dyDescent="0.3">
      <c r="A86" s="200">
        <v>1933</v>
      </c>
      <c r="B86" s="78">
        <v>21.9</v>
      </c>
      <c r="C86" s="78">
        <v>47.5</v>
      </c>
      <c r="D86" s="78">
        <v>0.8</v>
      </c>
      <c r="E86" s="78">
        <v>5.0999999999999996</v>
      </c>
      <c r="F86" s="78">
        <v>12.5</v>
      </c>
      <c r="G86" s="78">
        <v>12.2</v>
      </c>
      <c r="H86" s="78">
        <v>0</v>
      </c>
      <c r="I86" s="78">
        <f t="shared" si="2"/>
        <v>100</v>
      </c>
      <c r="J86" s="198"/>
      <c r="K86" s="198"/>
      <c r="L86" s="78"/>
      <c r="M86" s="78"/>
      <c r="N86" s="78"/>
      <c r="O86" s="78"/>
    </row>
    <row r="87" spans="1:15" x14ac:dyDescent="0.3">
      <c r="A87" s="200">
        <v>1936</v>
      </c>
      <c r="B87" s="78">
        <v>18.600000000000001</v>
      </c>
      <c r="C87" s="78">
        <v>50.9</v>
      </c>
      <c r="D87" s="78">
        <v>0.2</v>
      </c>
      <c r="E87" s="78">
        <v>4</v>
      </c>
      <c r="F87" s="78">
        <v>12.8</v>
      </c>
      <c r="G87" s="78">
        <v>13.5</v>
      </c>
      <c r="H87" s="78">
        <v>0</v>
      </c>
      <c r="I87" s="78">
        <f t="shared" si="2"/>
        <v>100</v>
      </c>
      <c r="J87" s="198"/>
      <c r="K87" s="198"/>
      <c r="L87" s="78"/>
      <c r="M87" s="78"/>
      <c r="N87" s="78"/>
      <c r="O87" s="78"/>
    </row>
    <row r="88" spans="1:15" x14ac:dyDescent="0.3">
      <c r="A88" s="200">
        <v>1938</v>
      </c>
      <c r="B88" s="78">
        <v>18.100000000000001</v>
      </c>
      <c r="C88" s="78">
        <v>50.8</v>
      </c>
      <c r="D88" s="78">
        <v>1</v>
      </c>
      <c r="E88" s="78">
        <v>2.2000000000000002</v>
      </c>
      <c r="F88" s="78">
        <v>9.1</v>
      </c>
      <c r="G88" s="78">
        <v>18.8</v>
      </c>
      <c r="H88" s="78">
        <v>0.1</v>
      </c>
      <c r="I88" s="78">
        <f t="shared" si="2"/>
        <v>100.1</v>
      </c>
      <c r="J88" s="198"/>
      <c r="K88" s="198"/>
      <c r="L88" s="78"/>
      <c r="M88" s="78"/>
      <c r="N88" s="78"/>
      <c r="O88" s="78"/>
    </row>
    <row r="89" spans="1:15" x14ac:dyDescent="0.3">
      <c r="A89" s="200">
        <v>1939</v>
      </c>
      <c r="B89" s="78">
        <v>19.100000000000001</v>
      </c>
      <c r="C89" s="78">
        <v>44.9</v>
      </c>
      <c r="D89" s="78">
        <v>0.5</v>
      </c>
      <c r="E89" s="78">
        <v>4.2</v>
      </c>
      <c r="F89" s="78">
        <v>8.3000000000000007</v>
      </c>
      <c r="G89" s="78">
        <v>20</v>
      </c>
      <c r="H89" s="78">
        <v>3</v>
      </c>
      <c r="I89" s="78">
        <f t="shared" si="2"/>
        <v>100</v>
      </c>
      <c r="J89" s="198"/>
      <c r="K89" s="198"/>
      <c r="L89" s="78"/>
      <c r="M89" s="78"/>
      <c r="N89" s="78"/>
      <c r="O89" s="78"/>
    </row>
    <row r="90" spans="1:15" x14ac:dyDescent="0.3">
      <c r="A90" s="200">
        <v>1940</v>
      </c>
      <c r="B90" s="78">
        <v>17.8</v>
      </c>
      <c r="C90" s="78">
        <v>47.3</v>
      </c>
      <c r="D90" s="78">
        <v>0.8</v>
      </c>
      <c r="E90" s="78">
        <v>3</v>
      </c>
      <c r="F90" s="78">
        <v>8.5</v>
      </c>
      <c r="G90" s="78">
        <v>22.5</v>
      </c>
      <c r="H90" s="78">
        <v>0</v>
      </c>
      <c r="I90" s="78">
        <f t="shared" si="2"/>
        <v>99.899999999999991</v>
      </c>
      <c r="J90" s="198"/>
      <c r="K90" s="198"/>
      <c r="L90" s="78"/>
      <c r="M90" s="78"/>
      <c r="N90" s="78"/>
      <c r="O90" s="78"/>
    </row>
    <row r="91" spans="1:15" x14ac:dyDescent="0.3">
      <c r="A91" s="200">
        <v>1941</v>
      </c>
      <c r="B91" s="78">
        <v>18.7</v>
      </c>
      <c r="C91" s="78">
        <v>50.3</v>
      </c>
      <c r="D91" s="78">
        <v>1.6</v>
      </c>
      <c r="E91" s="78">
        <v>2.8</v>
      </c>
      <c r="F91" s="78">
        <v>13.8</v>
      </c>
      <c r="G91" s="78">
        <v>12.8</v>
      </c>
      <c r="H91" s="78">
        <v>0</v>
      </c>
      <c r="I91" s="78">
        <f t="shared" si="2"/>
        <v>99.999999999999986</v>
      </c>
      <c r="J91" s="198"/>
      <c r="K91" s="198"/>
      <c r="L91" s="78"/>
      <c r="M91" s="78"/>
      <c r="N91" s="78"/>
      <c r="O91" s="78"/>
    </row>
    <row r="92" spans="1:15" x14ac:dyDescent="0.3">
      <c r="A92" s="200">
        <v>1942</v>
      </c>
      <c r="B92" s="78">
        <v>19.7</v>
      </c>
      <c r="C92" s="78">
        <v>40.700000000000003</v>
      </c>
      <c r="D92" s="78">
        <v>2.9</v>
      </c>
      <c r="E92" s="78">
        <v>3.5</v>
      </c>
      <c r="F92" s="78">
        <v>10.199999999999999</v>
      </c>
      <c r="G92" s="78">
        <v>23</v>
      </c>
      <c r="H92" s="78">
        <v>0</v>
      </c>
      <c r="I92" s="78">
        <f t="shared" si="2"/>
        <v>100.00000000000001</v>
      </c>
      <c r="J92" s="198"/>
      <c r="K92" s="198"/>
      <c r="L92" s="78"/>
      <c r="M92" s="78"/>
      <c r="N92" s="78"/>
      <c r="O92" s="78"/>
    </row>
    <row r="93" spans="1:15" x14ac:dyDescent="0.3">
      <c r="A93" s="200">
        <v>1943</v>
      </c>
      <c r="B93" s="78">
        <v>13.6</v>
      </c>
      <c r="C93" s="78">
        <v>52.9</v>
      </c>
      <c r="D93" s="78">
        <v>0.4</v>
      </c>
      <c r="E93" s="78">
        <v>4.2</v>
      </c>
      <c r="F93" s="78">
        <v>9.8000000000000007</v>
      </c>
      <c r="G93" s="78">
        <v>17.7</v>
      </c>
      <c r="H93" s="78">
        <v>1.5</v>
      </c>
      <c r="I93" s="78">
        <f t="shared" si="2"/>
        <v>100.10000000000001</v>
      </c>
      <c r="J93" s="198"/>
      <c r="K93" s="198"/>
      <c r="L93" s="78"/>
      <c r="M93" s="78"/>
      <c r="N93" s="78"/>
      <c r="O93" s="78"/>
    </row>
    <row r="94" spans="1:15" x14ac:dyDescent="0.3">
      <c r="A94" s="201" t="s">
        <v>175</v>
      </c>
      <c r="B94" s="78">
        <v>26.3</v>
      </c>
      <c r="C94" s="78">
        <v>37.6</v>
      </c>
      <c r="D94" s="78">
        <v>3.8</v>
      </c>
      <c r="E94" s="78">
        <v>2.9</v>
      </c>
      <c r="F94" s="78">
        <v>13.7</v>
      </c>
      <c r="G94" s="78">
        <v>15.6</v>
      </c>
      <c r="H94" s="79">
        <v>0</v>
      </c>
      <c r="I94" s="78">
        <f t="shared" si="2"/>
        <v>99.9</v>
      </c>
      <c r="J94" s="198"/>
      <c r="K94" s="198"/>
      <c r="L94" s="78"/>
      <c r="M94" s="78"/>
      <c r="N94" s="78"/>
      <c r="O94" s="78"/>
    </row>
    <row r="95" spans="1:15" x14ac:dyDescent="0.3">
      <c r="A95" s="199" t="s">
        <v>176</v>
      </c>
      <c r="B95" s="78">
        <v>24</v>
      </c>
      <c r="C95" s="78">
        <v>41</v>
      </c>
      <c r="D95" s="78">
        <v>3.4</v>
      </c>
      <c r="E95" s="78">
        <v>2.7</v>
      </c>
      <c r="F95" s="78">
        <v>14</v>
      </c>
      <c r="G95" s="78">
        <v>14.3</v>
      </c>
      <c r="H95" s="79">
        <v>0</v>
      </c>
      <c r="I95" s="78">
        <f t="shared" si="2"/>
        <v>99.4</v>
      </c>
      <c r="J95" s="198"/>
      <c r="K95" s="198"/>
      <c r="L95" s="78"/>
      <c r="M95" s="78"/>
      <c r="N95" s="78"/>
      <c r="O95" s="78"/>
    </row>
    <row r="96" spans="1:15" x14ac:dyDescent="0.3">
      <c r="A96" s="199" t="s">
        <v>177</v>
      </c>
      <c r="B96" s="78">
        <v>23.8</v>
      </c>
      <c r="C96" s="78">
        <v>34.799999999999997</v>
      </c>
      <c r="D96" s="78">
        <v>3.3</v>
      </c>
      <c r="E96" s="78">
        <v>6.9</v>
      </c>
      <c r="F96" s="78">
        <v>13.6</v>
      </c>
      <c r="G96" s="78">
        <v>15.6</v>
      </c>
      <c r="H96" s="79">
        <v>0</v>
      </c>
      <c r="I96" s="78">
        <f t="shared" si="2"/>
        <v>97.999999999999986</v>
      </c>
      <c r="J96" s="198"/>
      <c r="K96" s="198"/>
      <c r="L96" s="78"/>
      <c r="M96" s="78"/>
      <c r="N96" s="78"/>
      <c r="O96" s="78"/>
    </row>
    <row r="97" spans="1:15" x14ac:dyDescent="0.3">
      <c r="A97" s="199" t="s">
        <v>377</v>
      </c>
      <c r="B97" s="78">
        <v>20</v>
      </c>
      <c r="C97" s="78">
        <v>49.8</v>
      </c>
      <c r="D97" s="78">
        <v>2.2999999999999998</v>
      </c>
      <c r="E97" s="78">
        <v>1.5</v>
      </c>
      <c r="F97" s="78">
        <v>11.2</v>
      </c>
      <c r="G97" s="78">
        <v>14.9</v>
      </c>
      <c r="H97" s="79">
        <v>0</v>
      </c>
      <c r="I97" s="78">
        <f t="shared" si="2"/>
        <v>99.7</v>
      </c>
      <c r="J97" s="198"/>
      <c r="K97" s="198"/>
      <c r="L97" s="78"/>
      <c r="M97" s="78"/>
      <c r="N97" s="78"/>
      <c r="O97" s="78"/>
    </row>
    <row r="98" spans="1:15" x14ac:dyDescent="0.3">
      <c r="A98" s="199" t="s">
        <v>178</v>
      </c>
      <c r="B98" s="78">
        <v>19.100000000000001</v>
      </c>
      <c r="C98" s="78">
        <v>46.7</v>
      </c>
      <c r="D98" s="78">
        <v>3.1</v>
      </c>
      <c r="E98" s="78">
        <v>2.7</v>
      </c>
      <c r="F98" s="78">
        <v>12.5</v>
      </c>
      <c r="G98" s="78">
        <v>14.9</v>
      </c>
      <c r="H98" s="79">
        <v>0</v>
      </c>
      <c r="I98" s="78">
        <f t="shared" si="2"/>
        <v>99.000000000000014</v>
      </c>
      <c r="J98" s="198"/>
      <c r="K98" s="198"/>
      <c r="L98" s="78"/>
      <c r="M98" s="78"/>
      <c r="N98" s="78"/>
      <c r="O98" s="78"/>
    </row>
    <row r="99" spans="1:15" x14ac:dyDescent="0.3">
      <c r="A99" s="199" t="s">
        <v>179</v>
      </c>
      <c r="B99" s="78">
        <v>18.100000000000001</v>
      </c>
      <c r="C99" s="78">
        <v>39.200000000000003</v>
      </c>
      <c r="D99" s="78">
        <v>4</v>
      </c>
      <c r="E99" s="78">
        <v>5.8</v>
      </c>
      <c r="F99" s="78">
        <v>12.3</v>
      </c>
      <c r="G99" s="78">
        <v>18.600000000000001</v>
      </c>
      <c r="H99" s="79">
        <v>0</v>
      </c>
      <c r="I99" s="78">
        <f t="shared" si="2"/>
        <v>98</v>
      </c>
      <c r="J99" s="198"/>
      <c r="K99" s="198"/>
      <c r="L99" s="78"/>
      <c r="M99" s="78"/>
      <c r="N99" s="78"/>
      <c r="O99" s="78"/>
    </row>
    <row r="100" spans="1:15" x14ac:dyDescent="0.3">
      <c r="A100" s="199" t="s">
        <v>180</v>
      </c>
      <c r="B100" s="78">
        <v>26.5</v>
      </c>
      <c r="C100" s="78">
        <v>37.5</v>
      </c>
      <c r="D100" s="78">
        <v>3.9</v>
      </c>
      <c r="E100" s="78">
        <v>3.4</v>
      </c>
      <c r="F100" s="78">
        <v>13.3</v>
      </c>
      <c r="G100" s="78">
        <v>15</v>
      </c>
      <c r="H100" s="79">
        <v>0</v>
      </c>
      <c r="I100" s="78">
        <f t="shared" si="2"/>
        <v>99.600000000000009</v>
      </c>
      <c r="J100" s="198"/>
      <c r="K100" s="198"/>
      <c r="L100" s="78"/>
      <c r="M100" s="78"/>
      <c r="N100" s="78"/>
      <c r="O100" s="78"/>
    </row>
    <row r="101" spans="1:15" x14ac:dyDescent="0.3">
      <c r="A101" s="199" t="s">
        <v>181</v>
      </c>
      <c r="B101" s="78">
        <v>24.9</v>
      </c>
      <c r="C101" s="78">
        <v>33.1</v>
      </c>
      <c r="D101" s="78">
        <v>3.4</v>
      </c>
      <c r="E101" s="78">
        <v>8.5</v>
      </c>
      <c r="F101" s="78">
        <v>12.6</v>
      </c>
      <c r="G101" s="78">
        <v>16.100000000000001</v>
      </c>
      <c r="H101" s="79">
        <v>0</v>
      </c>
      <c r="I101" s="78">
        <f t="shared" si="2"/>
        <v>98.6</v>
      </c>
      <c r="J101" s="198"/>
      <c r="K101" s="198"/>
      <c r="L101" s="78"/>
      <c r="M101" s="78"/>
      <c r="N101" s="78"/>
      <c r="O101" s="78"/>
    </row>
    <row r="102" spans="1:15" x14ac:dyDescent="0.3">
      <c r="A102" s="199" t="s">
        <v>182</v>
      </c>
      <c r="B102" s="78">
        <v>36.1</v>
      </c>
      <c r="C102" s="78">
        <v>31.8</v>
      </c>
      <c r="D102" s="78">
        <v>2.9</v>
      </c>
      <c r="E102" s="78">
        <v>1.9</v>
      </c>
      <c r="F102" s="78">
        <v>14.9</v>
      </c>
      <c r="G102" s="78">
        <v>12.3</v>
      </c>
      <c r="H102" s="79">
        <v>0</v>
      </c>
      <c r="I102" s="78">
        <f t="shared" si="2"/>
        <v>99.90000000000002</v>
      </c>
      <c r="J102" s="198"/>
      <c r="K102" s="198"/>
      <c r="L102" s="78"/>
      <c r="M102" s="78"/>
      <c r="N102" s="78"/>
      <c r="O102" s="78"/>
    </row>
    <row r="103" spans="1:15" x14ac:dyDescent="0.3">
      <c r="A103" s="199" t="s">
        <v>378</v>
      </c>
      <c r="B103" s="78">
        <v>22.7</v>
      </c>
      <c r="C103" s="78">
        <v>20.100000000000001</v>
      </c>
      <c r="D103" s="78">
        <v>2.5</v>
      </c>
      <c r="E103" s="78">
        <v>21.8</v>
      </c>
      <c r="F103" s="78">
        <v>11.7</v>
      </c>
      <c r="G103" s="78">
        <v>17.8</v>
      </c>
      <c r="H103" s="79">
        <v>0</v>
      </c>
      <c r="I103" s="78">
        <f t="shared" si="2"/>
        <v>96.6</v>
      </c>
      <c r="J103" s="198"/>
      <c r="K103" s="198"/>
      <c r="L103" s="78"/>
      <c r="M103" s="78"/>
      <c r="N103" s="78"/>
      <c r="O103" s="78"/>
    </row>
  </sheetData>
  <pageMargins left="0.7" right="0.7" top="0.75" bottom="0.75" header="0.3" footer="0.3"/>
  <pageSetup paperSize="9" scale="45"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5">
    <pageSetUpPr fitToPage="1"/>
  </sheetPr>
  <dimension ref="A1:AK79"/>
  <sheetViews>
    <sheetView topLeftCell="P6" workbookViewId="0">
      <selection activeCell="F30" sqref="F30"/>
    </sheetView>
  </sheetViews>
  <sheetFormatPr baseColWidth="10" defaultRowHeight="14.4" x14ac:dyDescent="0.3"/>
  <cols>
    <col min="1" max="1" width="18.5546875" customWidth="1"/>
    <col min="2" max="2" width="23.5546875" customWidth="1"/>
    <col min="3" max="3" width="16.6640625" customWidth="1"/>
    <col min="249" max="249" width="19" customWidth="1"/>
    <col min="505" max="505" width="19" customWidth="1"/>
    <col min="761" max="761" width="19" customWidth="1"/>
    <col min="1017" max="1017" width="19" customWidth="1"/>
    <col min="1273" max="1273" width="19" customWidth="1"/>
    <col min="1529" max="1529" width="19" customWidth="1"/>
    <col min="1785" max="1785" width="19" customWidth="1"/>
    <col min="2041" max="2041" width="19" customWidth="1"/>
    <col min="2297" max="2297" width="19" customWidth="1"/>
    <col min="2553" max="2553" width="19" customWidth="1"/>
    <col min="2809" max="2809" width="19" customWidth="1"/>
    <col min="3065" max="3065" width="19" customWidth="1"/>
    <col min="3321" max="3321" width="19" customWidth="1"/>
    <col min="3577" max="3577" width="19" customWidth="1"/>
    <col min="3833" max="3833" width="19" customWidth="1"/>
    <col min="4089" max="4089" width="19" customWidth="1"/>
    <col min="4345" max="4345" width="19" customWidth="1"/>
    <col min="4601" max="4601" width="19" customWidth="1"/>
    <col min="4857" max="4857" width="19" customWidth="1"/>
    <col min="5113" max="5113" width="19" customWidth="1"/>
    <col min="5369" max="5369" width="19" customWidth="1"/>
    <col min="5625" max="5625" width="19" customWidth="1"/>
    <col min="5881" max="5881" width="19" customWidth="1"/>
    <col min="6137" max="6137" width="19" customWidth="1"/>
    <col min="6393" max="6393" width="19" customWidth="1"/>
    <col min="6649" max="6649" width="19" customWidth="1"/>
    <col min="6905" max="6905" width="19" customWidth="1"/>
    <col min="7161" max="7161" width="19" customWidth="1"/>
    <col min="7417" max="7417" width="19" customWidth="1"/>
    <col min="7673" max="7673" width="19" customWidth="1"/>
    <col min="7929" max="7929" width="19" customWidth="1"/>
    <col min="8185" max="8185" width="19" customWidth="1"/>
    <col min="8441" max="8441" width="19" customWidth="1"/>
    <col min="8697" max="8697" width="19" customWidth="1"/>
    <col min="8953" max="8953" width="19" customWidth="1"/>
    <col min="9209" max="9209" width="19" customWidth="1"/>
    <col min="9465" max="9465" width="19" customWidth="1"/>
    <col min="9721" max="9721" width="19" customWidth="1"/>
    <col min="9977" max="9977" width="19" customWidth="1"/>
    <col min="10233" max="10233" width="19" customWidth="1"/>
    <col min="10489" max="10489" width="19" customWidth="1"/>
    <col min="10745" max="10745" width="19" customWidth="1"/>
    <col min="11001" max="11001" width="19" customWidth="1"/>
    <col min="11257" max="11257" width="19" customWidth="1"/>
    <col min="11513" max="11513" width="19" customWidth="1"/>
    <col min="11769" max="11769" width="19" customWidth="1"/>
    <col min="12025" max="12025" width="19" customWidth="1"/>
    <col min="12281" max="12281" width="19" customWidth="1"/>
    <col min="12537" max="12537" width="19" customWidth="1"/>
    <col min="12793" max="12793" width="19" customWidth="1"/>
    <col min="13049" max="13049" width="19" customWidth="1"/>
    <col min="13305" max="13305" width="19" customWidth="1"/>
    <col min="13561" max="13561" width="19" customWidth="1"/>
    <col min="13817" max="13817" width="19" customWidth="1"/>
    <col min="14073" max="14073" width="19" customWidth="1"/>
    <col min="14329" max="14329" width="19" customWidth="1"/>
    <col min="14585" max="14585" width="19" customWidth="1"/>
    <col min="14841" max="14841" width="19" customWidth="1"/>
    <col min="15097" max="15097" width="19" customWidth="1"/>
    <col min="15353" max="15353" width="19" customWidth="1"/>
    <col min="15609" max="15609" width="19" customWidth="1"/>
    <col min="15865" max="15865" width="19" customWidth="1"/>
    <col min="16121" max="16121" width="19" customWidth="1"/>
  </cols>
  <sheetData>
    <row r="1" spans="1:37" x14ac:dyDescent="0.3">
      <c r="A1" s="7" t="s">
        <v>172</v>
      </c>
      <c r="B1" s="7"/>
    </row>
    <row r="3" spans="1:37" x14ac:dyDescent="0.3">
      <c r="A3">
        <v>1</v>
      </c>
      <c r="B3">
        <v>2</v>
      </c>
      <c r="C3">
        <v>3</v>
      </c>
      <c r="D3">
        <v>4</v>
      </c>
      <c r="E3">
        <v>5</v>
      </c>
      <c r="F3">
        <v>6</v>
      </c>
      <c r="G3">
        <v>7</v>
      </c>
      <c r="H3">
        <v>8</v>
      </c>
      <c r="I3">
        <v>9</v>
      </c>
      <c r="J3">
        <v>10</v>
      </c>
      <c r="K3">
        <v>11</v>
      </c>
      <c r="L3">
        <v>12</v>
      </c>
      <c r="M3">
        <v>13</v>
      </c>
      <c r="N3">
        <v>14</v>
      </c>
      <c r="O3">
        <v>15</v>
      </c>
      <c r="P3">
        <v>16</v>
      </c>
      <c r="Q3">
        <v>17</v>
      </c>
      <c r="R3">
        <v>18</v>
      </c>
      <c r="S3">
        <v>19</v>
      </c>
      <c r="T3">
        <v>20</v>
      </c>
      <c r="U3">
        <v>21</v>
      </c>
      <c r="V3">
        <v>22</v>
      </c>
      <c r="W3">
        <v>23</v>
      </c>
      <c r="X3">
        <v>24</v>
      </c>
      <c r="Y3">
        <v>25</v>
      </c>
      <c r="Z3">
        <v>26</v>
      </c>
      <c r="AA3">
        <v>27</v>
      </c>
      <c r="AB3">
        <v>28</v>
      </c>
      <c r="AC3">
        <v>29</v>
      </c>
      <c r="AD3">
        <v>30</v>
      </c>
      <c r="AE3">
        <v>31</v>
      </c>
      <c r="AF3">
        <v>32</v>
      </c>
      <c r="AG3">
        <v>33</v>
      </c>
    </row>
    <row r="4" spans="1:37" x14ac:dyDescent="0.3">
      <c r="C4" s="7"/>
    </row>
    <row r="5" spans="1:37" s="14" customFormat="1" ht="100.8" x14ac:dyDescent="0.3">
      <c r="A5" s="14">
        <v>2014</v>
      </c>
      <c r="C5" s="66" t="s">
        <v>118</v>
      </c>
      <c r="D5" s="66" t="s">
        <v>119</v>
      </c>
      <c r="E5" s="66" t="s">
        <v>120</v>
      </c>
      <c r="F5" s="66" t="s">
        <v>121</v>
      </c>
      <c r="G5" s="66" t="s">
        <v>122</v>
      </c>
      <c r="H5" s="66" t="s">
        <v>123</v>
      </c>
      <c r="I5" s="66" t="s">
        <v>124</v>
      </c>
      <c r="J5" s="66" t="s">
        <v>125</v>
      </c>
      <c r="K5" s="66" t="s">
        <v>126</v>
      </c>
      <c r="L5" s="66" t="s">
        <v>127</v>
      </c>
      <c r="M5" s="66" t="s">
        <v>128</v>
      </c>
      <c r="N5" s="66" t="s">
        <v>129</v>
      </c>
      <c r="O5" s="66" t="s">
        <v>130</v>
      </c>
      <c r="P5" s="66" t="s">
        <v>131</v>
      </c>
      <c r="Q5" s="66" t="s">
        <v>132</v>
      </c>
      <c r="R5" s="66" t="s">
        <v>133</v>
      </c>
      <c r="S5" s="66" t="s">
        <v>134</v>
      </c>
      <c r="T5" s="66" t="s">
        <v>135</v>
      </c>
      <c r="U5" s="66" t="s">
        <v>136</v>
      </c>
      <c r="V5" s="66" t="s">
        <v>137</v>
      </c>
      <c r="W5" s="66" t="s">
        <v>138</v>
      </c>
      <c r="X5" s="66" t="s">
        <v>139</v>
      </c>
      <c r="Y5" s="66" t="s">
        <v>140</v>
      </c>
      <c r="Z5" s="66" t="s">
        <v>141</v>
      </c>
      <c r="AA5" s="66" t="s">
        <v>142</v>
      </c>
      <c r="AB5" s="66" t="s">
        <v>143</v>
      </c>
      <c r="AC5" s="66" t="s">
        <v>144</v>
      </c>
      <c r="AD5" s="66" t="s">
        <v>145</v>
      </c>
      <c r="AE5" s="21" t="s">
        <v>367</v>
      </c>
      <c r="AF5" s="21" t="s">
        <v>368</v>
      </c>
      <c r="AG5" s="66" t="s">
        <v>146</v>
      </c>
      <c r="AJ5" s="78"/>
      <c r="AK5" s="78"/>
    </row>
    <row r="6" spans="1:37" x14ac:dyDescent="0.3">
      <c r="A6" s="67" t="s">
        <v>173</v>
      </c>
      <c r="B6" s="7" t="s">
        <v>174</v>
      </c>
      <c r="C6" s="79" t="s">
        <v>277</v>
      </c>
      <c r="D6" s="78">
        <v>49.6</v>
      </c>
      <c r="E6" s="78">
        <v>50.4</v>
      </c>
      <c r="F6" s="78">
        <v>1.1000000000000001</v>
      </c>
      <c r="G6" s="78">
        <v>6</v>
      </c>
      <c r="H6" s="78">
        <v>12.4</v>
      </c>
      <c r="I6" s="78">
        <v>4</v>
      </c>
      <c r="J6" s="78">
        <v>7.9</v>
      </c>
      <c r="K6" s="78">
        <v>54.2</v>
      </c>
      <c r="L6" s="78">
        <v>10.1</v>
      </c>
      <c r="M6" s="78">
        <v>4.4000000000000004</v>
      </c>
      <c r="N6" s="78">
        <v>11</v>
      </c>
      <c r="O6" s="78">
        <v>1.7</v>
      </c>
      <c r="P6" s="78">
        <v>9.4</v>
      </c>
      <c r="Q6" s="78">
        <v>64.400000000000006</v>
      </c>
      <c r="R6" s="78">
        <v>82.9</v>
      </c>
      <c r="S6" s="78">
        <v>78.400000000000006</v>
      </c>
      <c r="T6" s="78">
        <v>10.8</v>
      </c>
      <c r="U6" s="78">
        <v>8.1</v>
      </c>
      <c r="V6" s="78">
        <v>58.1</v>
      </c>
      <c r="W6" s="78">
        <v>51.3</v>
      </c>
      <c r="X6" s="78">
        <v>1.8</v>
      </c>
      <c r="Y6" s="78">
        <v>13.2</v>
      </c>
      <c r="Z6" s="78">
        <v>15.5</v>
      </c>
      <c r="AA6" s="78">
        <v>15.2</v>
      </c>
      <c r="AB6" s="78">
        <v>13.1</v>
      </c>
      <c r="AC6" s="78">
        <v>77.099999999999994</v>
      </c>
      <c r="AD6" s="78">
        <v>7.3</v>
      </c>
      <c r="AE6" s="78">
        <v>2.2000000000000002</v>
      </c>
      <c r="AF6" s="78">
        <v>1.6</v>
      </c>
      <c r="AG6" s="78">
        <v>29.7</v>
      </c>
      <c r="AJ6" s="78"/>
      <c r="AK6" s="78"/>
    </row>
    <row r="7" spans="1:37" x14ac:dyDescent="0.3">
      <c r="A7" s="67">
        <v>1902</v>
      </c>
      <c r="B7" s="7" t="s">
        <v>10</v>
      </c>
      <c r="C7" s="147">
        <v>72681</v>
      </c>
      <c r="D7" s="147">
        <v>49.5</v>
      </c>
      <c r="E7" s="147">
        <v>50.5</v>
      </c>
      <c r="F7" s="147">
        <v>1.2</v>
      </c>
      <c r="G7" s="147">
        <v>6.2</v>
      </c>
      <c r="H7" s="147">
        <v>11.9</v>
      </c>
      <c r="I7" s="147">
        <v>3.7</v>
      </c>
      <c r="J7" s="147">
        <v>9.4</v>
      </c>
      <c r="K7" s="147">
        <v>57.5</v>
      </c>
      <c r="L7" s="147">
        <v>7.6</v>
      </c>
      <c r="M7" s="147">
        <v>2.6</v>
      </c>
      <c r="N7" s="147">
        <v>9.5</v>
      </c>
      <c r="O7" s="147">
        <v>2</v>
      </c>
      <c r="P7" s="147">
        <v>7.5</v>
      </c>
      <c r="Q7" s="147">
        <v>67.599999999999994</v>
      </c>
      <c r="R7" s="147">
        <v>82.7</v>
      </c>
      <c r="S7" s="147">
        <v>78</v>
      </c>
      <c r="T7" s="147">
        <v>12.1</v>
      </c>
      <c r="U7" s="147">
        <v>5.7</v>
      </c>
      <c r="V7" s="147">
        <v>56.3</v>
      </c>
      <c r="W7" s="147">
        <v>47.8</v>
      </c>
      <c r="X7" s="147">
        <v>1.7</v>
      </c>
      <c r="Y7" s="147">
        <v>12.3</v>
      </c>
      <c r="Z7" s="147">
        <v>11.6</v>
      </c>
      <c r="AA7" s="147">
        <v>11.4</v>
      </c>
      <c r="AB7" s="147">
        <v>9.4</v>
      </c>
      <c r="AC7" s="147">
        <v>87.5</v>
      </c>
      <c r="AD7" s="147">
        <v>8.6999999999999993</v>
      </c>
      <c r="AE7" s="147">
        <v>1.8</v>
      </c>
      <c r="AF7" s="147">
        <v>1.3</v>
      </c>
      <c r="AG7" s="147">
        <v>6.2</v>
      </c>
      <c r="AJ7" s="78"/>
      <c r="AK7" s="78"/>
    </row>
    <row r="8" spans="1:37" s="72" customFormat="1" x14ac:dyDescent="0.3">
      <c r="A8" s="67">
        <v>1903</v>
      </c>
      <c r="B8" s="8" t="s">
        <v>6</v>
      </c>
      <c r="C8" s="147">
        <v>24676</v>
      </c>
      <c r="D8" s="147">
        <v>50</v>
      </c>
      <c r="E8" s="147">
        <v>50</v>
      </c>
      <c r="F8" s="147">
        <v>1.1000000000000001</v>
      </c>
      <c r="G8" s="147">
        <v>5.8</v>
      </c>
      <c r="H8" s="147">
        <v>11.4</v>
      </c>
      <c r="I8" s="147">
        <v>3.9</v>
      </c>
      <c r="J8" s="147">
        <v>8.6</v>
      </c>
      <c r="K8" s="147">
        <v>53.9</v>
      </c>
      <c r="L8" s="147">
        <v>10.7</v>
      </c>
      <c r="M8" s="147">
        <v>4.5</v>
      </c>
      <c r="N8" s="147">
        <v>10.4</v>
      </c>
      <c r="O8" s="147">
        <v>1.8</v>
      </c>
      <c r="P8" s="147">
        <v>11</v>
      </c>
      <c r="Q8" s="147">
        <v>64.3</v>
      </c>
      <c r="R8" s="147">
        <v>82.7</v>
      </c>
      <c r="S8" s="147">
        <v>78</v>
      </c>
      <c r="T8" s="147">
        <v>10.8</v>
      </c>
      <c r="U8" s="147">
        <v>7.2</v>
      </c>
      <c r="V8" s="147">
        <v>50.6</v>
      </c>
      <c r="W8" s="147">
        <v>44.7</v>
      </c>
      <c r="X8" s="147">
        <v>1.7</v>
      </c>
      <c r="Y8" s="147">
        <v>9.1999999999999993</v>
      </c>
      <c r="Z8" s="147">
        <v>12.4</v>
      </c>
      <c r="AA8" s="147">
        <v>11.2</v>
      </c>
      <c r="AB8" s="147">
        <v>9.6</v>
      </c>
      <c r="AC8" s="147">
        <v>83.2</v>
      </c>
      <c r="AD8" s="147">
        <v>7.4</v>
      </c>
      <c r="AE8" s="147">
        <v>2.4</v>
      </c>
      <c r="AF8" s="147">
        <v>1.2</v>
      </c>
      <c r="AG8" s="147">
        <v>11.6</v>
      </c>
      <c r="AJ8" s="78"/>
      <c r="AK8" s="78"/>
    </row>
    <row r="9" spans="1:37" x14ac:dyDescent="0.3">
      <c r="A9" s="67">
        <v>1911</v>
      </c>
      <c r="B9" s="7" t="s">
        <v>14</v>
      </c>
      <c r="C9" s="147">
        <v>3076</v>
      </c>
      <c r="D9" s="147">
        <v>49.3</v>
      </c>
      <c r="E9" s="147">
        <v>50.7</v>
      </c>
      <c r="F9" s="147">
        <v>0.7</v>
      </c>
      <c r="G9" s="147">
        <v>5.3</v>
      </c>
      <c r="H9" s="147">
        <v>11.2</v>
      </c>
      <c r="I9" s="147">
        <v>5</v>
      </c>
      <c r="J9" s="147">
        <v>9</v>
      </c>
      <c r="K9" s="147">
        <v>51.3</v>
      </c>
      <c r="L9" s="147">
        <v>12.1</v>
      </c>
      <c r="M9" s="147">
        <v>5.4</v>
      </c>
      <c r="N9" s="147">
        <v>10.8</v>
      </c>
      <c r="O9" s="147">
        <v>1.9</v>
      </c>
      <c r="P9" s="147">
        <v>13.6</v>
      </c>
      <c r="Q9" s="147">
        <v>66.900000000000006</v>
      </c>
      <c r="R9" s="147">
        <v>82.7</v>
      </c>
      <c r="S9" s="147">
        <v>78</v>
      </c>
      <c r="T9" s="147">
        <v>7.2</v>
      </c>
      <c r="U9" s="147">
        <v>9.4</v>
      </c>
      <c r="V9" s="147">
        <v>75.400000000000006</v>
      </c>
      <c r="W9" s="147">
        <v>83.2</v>
      </c>
      <c r="X9" s="147">
        <v>1.7</v>
      </c>
      <c r="Y9" s="147">
        <v>11.2</v>
      </c>
      <c r="Z9" s="147">
        <v>15.7</v>
      </c>
      <c r="AA9" s="147">
        <v>14.2</v>
      </c>
      <c r="AB9" s="147">
        <v>13.4</v>
      </c>
      <c r="AC9" s="147">
        <v>61.4</v>
      </c>
      <c r="AD9" s="147">
        <v>9</v>
      </c>
      <c r="AE9" s="147">
        <v>3.3</v>
      </c>
      <c r="AF9" s="147">
        <v>1.5</v>
      </c>
      <c r="AG9" s="147">
        <v>32</v>
      </c>
      <c r="AJ9" s="78"/>
      <c r="AK9" s="78"/>
    </row>
    <row r="10" spans="1:37" x14ac:dyDescent="0.3">
      <c r="A10" s="67">
        <v>1913</v>
      </c>
      <c r="B10" s="7" t="s">
        <v>18</v>
      </c>
      <c r="C10" s="147">
        <v>2988</v>
      </c>
      <c r="D10" s="147">
        <v>49.2</v>
      </c>
      <c r="E10" s="147">
        <v>50.8</v>
      </c>
      <c r="F10" s="147">
        <v>1.2</v>
      </c>
      <c r="G10" s="147">
        <v>5.0999999999999996</v>
      </c>
      <c r="H10" s="147">
        <v>10.6</v>
      </c>
      <c r="I10" s="147">
        <v>3.2</v>
      </c>
      <c r="J10" s="147">
        <v>6.5</v>
      </c>
      <c r="K10" s="147">
        <v>53.6</v>
      </c>
      <c r="L10" s="147">
        <v>13.8</v>
      </c>
      <c r="M10" s="147">
        <v>6</v>
      </c>
      <c r="N10" s="147">
        <v>10.7</v>
      </c>
      <c r="O10" s="147">
        <v>2.2000000000000002</v>
      </c>
      <c r="P10" s="147">
        <v>14.7</v>
      </c>
      <c r="Q10" s="147">
        <v>66.900000000000006</v>
      </c>
      <c r="R10" s="147">
        <v>82.7</v>
      </c>
      <c r="S10" s="147">
        <v>78</v>
      </c>
      <c r="T10" s="147">
        <v>11.7</v>
      </c>
      <c r="U10" s="147">
        <v>7</v>
      </c>
      <c r="V10" s="147">
        <v>65.900000000000006</v>
      </c>
      <c r="W10" s="147">
        <v>57.6</v>
      </c>
      <c r="X10" s="147">
        <v>1.7</v>
      </c>
      <c r="Y10" s="147">
        <v>7.6</v>
      </c>
      <c r="Z10" s="147">
        <v>4.3</v>
      </c>
      <c r="AA10" s="147">
        <v>4.5999999999999996</v>
      </c>
      <c r="AB10" s="147">
        <v>5.8</v>
      </c>
      <c r="AC10" s="147">
        <v>34.9</v>
      </c>
      <c r="AD10" s="147">
        <v>12.1</v>
      </c>
      <c r="AE10" s="147">
        <v>3</v>
      </c>
      <c r="AF10" s="147">
        <v>1</v>
      </c>
      <c r="AG10" s="147">
        <v>37.200000000000003</v>
      </c>
      <c r="AJ10" s="78"/>
      <c r="AK10" s="78"/>
    </row>
    <row r="11" spans="1:37" x14ac:dyDescent="0.3">
      <c r="A11" s="67">
        <v>1917</v>
      </c>
      <c r="B11" s="7" t="s">
        <v>21</v>
      </c>
      <c r="C11" s="147">
        <v>1410</v>
      </c>
      <c r="D11" s="147">
        <v>48.6</v>
      </c>
      <c r="E11" s="147">
        <v>51.4</v>
      </c>
      <c r="F11" s="147">
        <v>0.6</v>
      </c>
      <c r="G11" s="147">
        <v>3.7</v>
      </c>
      <c r="H11" s="147">
        <v>9.9</v>
      </c>
      <c r="I11" s="147">
        <v>3.8</v>
      </c>
      <c r="J11" s="147">
        <v>7.7</v>
      </c>
      <c r="K11" s="147">
        <v>48.4</v>
      </c>
      <c r="L11" s="147">
        <v>16.7</v>
      </c>
      <c r="M11" s="147">
        <v>9.4</v>
      </c>
      <c r="N11" s="147">
        <v>11.7</v>
      </c>
      <c r="O11" s="147">
        <v>0.5</v>
      </c>
      <c r="P11" s="147">
        <v>17.7</v>
      </c>
      <c r="Q11" s="147">
        <v>67.400000000000006</v>
      </c>
      <c r="R11" s="147">
        <v>82.7</v>
      </c>
      <c r="S11" s="147">
        <v>78</v>
      </c>
      <c r="T11" s="147">
        <v>5</v>
      </c>
      <c r="U11" s="147">
        <v>22.7</v>
      </c>
      <c r="V11" s="147">
        <v>46.1</v>
      </c>
      <c r="W11" s="147">
        <v>46.8</v>
      </c>
      <c r="X11" s="147">
        <v>1.7</v>
      </c>
      <c r="Y11" s="147">
        <v>8.6999999999999993</v>
      </c>
      <c r="Z11" s="147">
        <v>11.7</v>
      </c>
      <c r="AA11" s="147">
        <v>11.5</v>
      </c>
      <c r="AB11" s="147">
        <v>12.9</v>
      </c>
      <c r="AC11" s="147">
        <v>33.299999999999997</v>
      </c>
      <c r="AD11" s="147">
        <v>17.3</v>
      </c>
      <c r="AE11" s="147">
        <v>2</v>
      </c>
      <c r="AF11" s="147">
        <v>0.6</v>
      </c>
      <c r="AG11" s="147">
        <v>16.399999999999999</v>
      </c>
      <c r="AJ11" s="78"/>
      <c r="AK11" s="78"/>
    </row>
    <row r="12" spans="1:37" x14ac:dyDescent="0.3">
      <c r="A12" s="67">
        <v>1919</v>
      </c>
      <c r="B12" s="7" t="s">
        <v>24</v>
      </c>
      <c r="C12" s="147">
        <v>1137</v>
      </c>
      <c r="D12" s="147">
        <v>48.4</v>
      </c>
      <c r="E12" s="147">
        <v>51.6</v>
      </c>
      <c r="F12" s="147">
        <v>1.4</v>
      </c>
      <c r="G12" s="147">
        <v>3.6</v>
      </c>
      <c r="H12" s="147">
        <v>11.3</v>
      </c>
      <c r="I12" s="147">
        <v>3.1</v>
      </c>
      <c r="J12" s="147">
        <v>7.4</v>
      </c>
      <c r="K12" s="147">
        <v>50</v>
      </c>
      <c r="L12" s="147">
        <v>14.9</v>
      </c>
      <c r="M12" s="147">
        <v>8.4</v>
      </c>
      <c r="N12" s="147">
        <v>12.8</v>
      </c>
      <c r="O12" s="147">
        <v>0.3</v>
      </c>
      <c r="P12" s="147">
        <v>16.7</v>
      </c>
      <c r="Q12" s="147">
        <v>76.8</v>
      </c>
      <c r="R12" s="147">
        <v>82.7</v>
      </c>
      <c r="S12" s="147">
        <v>78</v>
      </c>
      <c r="T12" s="147">
        <v>15</v>
      </c>
      <c r="U12" s="147">
        <v>11.4</v>
      </c>
      <c r="V12" s="147">
        <v>53.6</v>
      </c>
      <c r="W12" s="147">
        <v>55.4</v>
      </c>
      <c r="X12" s="147">
        <v>1.7</v>
      </c>
      <c r="Y12" s="147">
        <v>14.1</v>
      </c>
      <c r="Z12" s="147">
        <v>31.6</v>
      </c>
      <c r="AA12" s="147">
        <v>26.8</v>
      </c>
      <c r="AB12" s="147">
        <v>17.600000000000001</v>
      </c>
      <c r="AC12" s="147">
        <v>0</v>
      </c>
      <c r="AD12" s="147">
        <v>7.5</v>
      </c>
      <c r="AE12" s="147">
        <v>1.6</v>
      </c>
      <c r="AF12" s="147">
        <v>0.5</v>
      </c>
      <c r="AG12" s="147">
        <v>23</v>
      </c>
      <c r="AJ12" s="78"/>
      <c r="AK12" s="78"/>
    </row>
    <row r="13" spans="1:37" x14ac:dyDescent="0.3">
      <c r="A13" s="67">
        <v>1920</v>
      </c>
      <c r="B13" s="7" t="s">
        <v>27</v>
      </c>
      <c r="C13" s="147">
        <v>1008</v>
      </c>
      <c r="D13" s="147">
        <v>48</v>
      </c>
      <c r="E13" s="147">
        <v>52</v>
      </c>
      <c r="F13" s="147">
        <v>0.9</v>
      </c>
      <c r="G13" s="147">
        <v>6.3</v>
      </c>
      <c r="H13" s="147">
        <v>12.5</v>
      </c>
      <c r="I13" s="147">
        <v>3.4</v>
      </c>
      <c r="J13" s="147">
        <v>7.3</v>
      </c>
      <c r="K13" s="147">
        <v>48.3</v>
      </c>
      <c r="L13" s="147">
        <v>14.5</v>
      </c>
      <c r="M13" s="147">
        <v>6.7</v>
      </c>
      <c r="N13" s="147">
        <v>8.1</v>
      </c>
      <c r="O13" s="147">
        <v>2.6</v>
      </c>
      <c r="P13" s="147">
        <v>17.5</v>
      </c>
      <c r="Q13" s="147">
        <v>67.599999999999994</v>
      </c>
      <c r="R13" s="147">
        <v>82.7</v>
      </c>
      <c r="S13" s="147">
        <v>78</v>
      </c>
      <c r="T13" s="147">
        <v>8.9</v>
      </c>
      <c r="U13" s="147">
        <v>9.9</v>
      </c>
      <c r="V13" s="147">
        <v>37.700000000000003</v>
      </c>
      <c r="W13" s="147">
        <v>41.7</v>
      </c>
      <c r="X13" s="147">
        <v>1.7</v>
      </c>
      <c r="Y13" s="147">
        <v>4.0999999999999996</v>
      </c>
      <c r="Z13" s="147">
        <v>4.0999999999999996</v>
      </c>
      <c r="AA13" s="147">
        <v>4.7</v>
      </c>
      <c r="AB13" s="147">
        <v>4.7</v>
      </c>
      <c r="AC13" s="147">
        <v>23.2</v>
      </c>
      <c r="AD13" s="147">
        <v>3.4</v>
      </c>
      <c r="AE13" s="147">
        <v>1.2</v>
      </c>
      <c r="AF13" s="147">
        <v>0.6</v>
      </c>
      <c r="AG13" s="147">
        <v>29.4</v>
      </c>
      <c r="AJ13" s="78"/>
      <c r="AK13" s="78"/>
    </row>
    <row r="14" spans="1:37" x14ac:dyDescent="0.3">
      <c r="A14" s="67">
        <v>1922</v>
      </c>
      <c r="B14" s="7" t="s">
        <v>30</v>
      </c>
      <c r="C14" s="147">
        <v>4078</v>
      </c>
      <c r="D14" s="147">
        <v>48.1</v>
      </c>
      <c r="E14" s="147">
        <v>51.9</v>
      </c>
      <c r="F14" s="147">
        <v>1</v>
      </c>
      <c r="G14" s="147">
        <v>6</v>
      </c>
      <c r="H14" s="147">
        <v>11.8</v>
      </c>
      <c r="I14" s="147">
        <v>3.2</v>
      </c>
      <c r="J14" s="147">
        <v>11.8</v>
      </c>
      <c r="K14" s="147">
        <v>50.6</v>
      </c>
      <c r="L14" s="147">
        <v>10.8</v>
      </c>
      <c r="M14" s="147">
        <v>4.8</v>
      </c>
      <c r="N14" s="147">
        <v>7.5</v>
      </c>
      <c r="O14" s="147">
        <v>1.2</v>
      </c>
      <c r="P14" s="147">
        <v>8.5</v>
      </c>
      <c r="Q14" s="147">
        <v>62.6</v>
      </c>
      <c r="R14" s="147">
        <v>82.7</v>
      </c>
      <c r="S14" s="147">
        <v>78</v>
      </c>
      <c r="T14" s="147">
        <v>9.6</v>
      </c>
      <c r="U14" s="147">
        <v>8.6</v>
      </c>
      <c r="V14" s="147">
        <v>111.6</v>
      </c>
      <c r="W14" s="147">
        <v>89.5</v>
      </c>
      <c r="X14" s="147">
        <v>1.7</v>
      </c>
      <c r="Y14" s="147">
        <v>7.7</v>
      </c>
      <c r="Z14" s="147">
        <v>9.9</v>
      </c>
      <c r="AA14" s="147">
        <v>9.8000000000000007</v>
      </c>
      <c r="AB14" s="147">
        <v>7.6</v>
      </c>
      <c r="AC14" s="147">
        <v>59.9</v>
      </c>
      <c r="AD14" s="147">
        <v>5.9</v>
      </c>
      <c r="AE14" s="147">
        <v>0.6</v>
      </c>
      <c r="AF14" s="147">
        <v>0.9</v>
      </c>
      <c r="AG14" s="147">
        <v>15.8</v>
      </c>
      <c r="AJ14" s="78"/>
      <c r="AK14" s="78"/>
    </row>
    <row r="15" spans="1:37" x14ac:dyDescent="0.3">
      <c r="A15" s="67">
        <v>1923</v>
      </c>
      <c r="B15" s="7" t="s">
        <v>34</v>
      </c>
      <c r="C15" s="147">
        <v>2219</v>
      </c>
      <c r="D15" s="147">
        <v>48.1</v>
      </c>
      <c r="E15" s="147">
        <v>51.9</v>
      </c>
      <c r="F15" s="147">
        <v>0.5</v>
      </c>
      <c r="G15" s="147">
        <v>4.2</v>
      </c>
      <c r="H15" s="147">
        <v>11.4</v>
      </c>
      <c r="I15" s="147">
        <v>6.6</v>
      </c>
      <c r="J15" s="147">
        <v>9.1</v>
      </c>
      <c r="K15" s="147">
        <v>50.2</v>
      </c>
      <c r="L15" s="147">
        <v>13.8</v>
      </c>
      <c r="M15" s="147">
        <v>4.0999999999999996</v>
      </c>
      <c r="N15" s="147">
        <v>10</v>
      </c>
      <c r="O15" s="147">
        <v>1.8</v>
      </c>
      <c r="P15" s="147">
        <v>12.6</v>
      </c>
      <c r="Q15" s="147">
        <v>70.3</v>
      </c>
      <c r="R15" s="147">
        <v>82.7</v>
      </c>
      <c r="S15" s="147">
        <v>78</v>
      </c>
      <c r="T15" s="147">
        <v>5</v>
      </c>
      <c r="U15" s="147">
        <v>9</v>
      </c>
      <c r="V15" s="147">
        <v>78.400000000000006</v>
      </c>
      <c r="W15" s="147">
        <v>76.2</v>
      </c>
      <c r="X15" s="147">
        <v>1.7</v>
      </c>
      <c r="Y15" s="147">
        <v>10.7</v>
      </c>
      <c r="Z15" s="147">
        <v>11.3</v>
      </c>
      <c r="AA15" s="147">
        <v>8.5</v>
      </c>
      <c r="AB15" s="147">
        <v>10</v>
      </c>
      <c r="AC15" s="147">
        <v>34.9</v>
      </c>
      <c r="AD15" s="147">
        <v>4.8</v>
      </c>
      <c r="AE15" s="147">
        <v>1.7</v>
      </c>
      <c r="AF15" s="147">
        <v>1.1000000000000001</v>
      </c>
      <c r="AG15" s="147">
        <v>18.3</v>
      </c>
      <c r="AJ15" s="78"/>
      <c r="AK15" s="78"/>
    </row>
    <row r="16" spans="1:37" x14ac:dyDescent="0.3">
      <c r="A16" s="67">
        <v>1924</v>
      </c>
      <c r="B16" s="7" t="s">
        <v>36</v>
      </c>
      <c r="C16" s="147">
        <v>6693</v>
      </c>
      <c r="D16" s="147">
        <v>47.5</v>
      </c>
      <c r="E16" s="147">
        <v>52.5</v>
      </c>
      <c r="F16" s="147">
        <v>1.1000000000000001</v>
      </c>
      <c r="G16" s="147">
        <v>5.0999999999999996</v>
      </c>
      <c r="H16" s="147">
        <v>11.4</v>
      </c>
      <c r="I16" s="147">
        <v>4.3</v>
      </c>
      <c r="J16" s="147">
        <v>9.6999999999999993</v>
      </c>
      <c r="K16" s="147">
        <v>52.8</v>
      </c>
      <c r="L16" s="147">
        <v>10.6</v>
      </c>
      <c r="M16" s="147">
        <v>5.0999999999999996</v>
      </c>
      <c r="N16" s="147">
        <v>8.9</v>
      </c>
      <c r="O16" s="147">
        <v>1.5</v>
      </c>
      <c r="P16" s="147">
        <v>10.6</v>
      </c>
      <c r="Q16" s="147">
        <v>63</v>
      </c>
      <c r="R16" s="147">
        <v>82.7</v>
      </c>
      <c r="S16" s="147">
        <v>78</v>
      </c>
      <c r="T16" s="147">
        <v>10.8</v>
      </c>
      <c r="U16" s="147">
        <v>9.6</v>
      </c>
      <c r="V16" s="147">
        <v>73.099999999999994</v>
      </c>
      <c r="W16" s="147">
        <v>65.900000000000006</v>
      </c>
      <c r="X16" s="147">
        <v>1.7</v>
      </c>
      <c r="Y16" s="147">
        <v>6.2</v>
      </c>
      <c r="Z16" s="147">
        <v>8.4</v>
      </c>
      <c r="AA16" s="147">
        <v>6.4</v>
      </c>
      <c r="AB16" s="147">
        <v>4.5999999999999996</v>
      </c>
      <c r="AC16" s="147">
        <v>52.9</v>
      </c>
      <c r="AD16" s="147">
        <v>13.9</v>
      </c>
      <c r="AE16" s="147">
        <v>1.5</v>
      </c>
      <c r="AF16" s="147">
        <v>0.6</v>
      </c>
      <c r="AG16" s="147">
        <v>13.6</v>
      </c>
      <c r="AJ16" s="78"/>
      <c r="AK16" s="78"/>
    </row>
    <row r="17" spans="1:37" x14ac:dyDescent="0.3">
      <c r="A17" s="67">
        <v>1925</v>
      </c>
      <c r="B17" s="7" t="s">
        <v>39</v>
      </c>
      <c r="C17" s="147">
        <v>3451</v>
      </c>
      <c r="D17" s="147">
        <v>49.8</v>
      </c>
      <c r="E17" s="147">
        <v>50.2</v>
      </c>
      <c r="F17" s="147">
        <v>1.1000000000000001</v>
      </c>
      <c r="G17" s="147">
        <v>5.4</v>
      </c>
      <c r="H17" s="147">
        <v>13.3</v>
      </c>
      <c r="I17" s="147">
        <v>4.5</v>
      </c>
      <c r="J17" s="147">
        <v>7.4</v>
      </c>
      <c r="K17" s="147">
        <v>52.4</v>
      </c>
      <c r="L17" s="147">
        <v>11.7</v>
      </c>
      <c r="M17" s="147">
        <v>4.0999999999999996</v>
      </c>
      <c r="N17" s="147">
        <v>10.9</v>
      </c>
      <c r="O17" s="147">
        <v>1.8</v>
      </c>
      <c r="P17" s="147">
        <v>13.4</v>
      </c>
      <c r="Q17" s="147">
        <v>72</v>
      </c>
      <c r="R17" s="147">
        <v>82.7</v>
      </c>
      <c r="S17" s="147">
        <v>78</v>
      </c>
      <c r="T17" s="147">
        <v>11.6</v>
      </c>
      <c r="U17" s="147">
        <v>6.7</v>
      </c>
      <c r="V17" s="147">
        <v>55.6</v>
      </c>
      <c r="W17" s="147">
        <v>60.3</v>
      </c>
      <c r="X17" s="147">
        <v>1.7</v>
      </c>
      <c r="Y17" s="147">
        <v>7.5</v>
      </c>
      <c r="Z17" s="147">
        <v>7.6</v>
      </c>
      <c r="AA17" s="147">
        <v>7</v>
      </c>
      <c r="AB17" s="147">
        <v>6.7</v>
      </c>
      <c r="AC17" s="147">
        <v>42.6</v>
      </c>
      <c r="AD17" s="147">
        <v>4.3</v>
      </c>
      <c r="AE17" s="147">
        <v>3.9</v>
      </c>
      <c r="AF17" s="147">
        <v>1.3</v>
      </c>
      <c r="AG17" s="147">
        <v>38.700000000000003</v>
      </c>
      <c r="AJ17" s="78"/>
      <c r="AK17" s="78"/>
    </row>
    <row r="18" spans="1:37" x14ac:dyDescent="0.3">
      <c r="A18" s="67">
        <v>1926</v>
      </c>
      <c r="B18" s="7" t="s">
        <v>42</v>
      </c>
      <c r="C18" s="147">
        <v>1154</v>
      </c>
      <c r="D18" s="147">
        <v>50</v>
      </c>
      <c r="E18" s="147">
        <v>50</v>
      </c>
      <c r="F18" s="147">
        <v>0.5</v>
      </c>
      <c r="G18" s="147">
        <v>4.3</v>
      </c>
      <c r="H18" s="147">
        <v>10.1</v>
      </c>
      <c r="I18" s="147">
        <v>3.8</v>
      </c>
      <c r="J18" s="147">
        <v>7</v>
      </c>
      <c r="K18" s="147">
        <v>52.1</v>
      </c>
      <c r="L18" s="147">
        <v>15.3</v>
      </c>
      <c r="M18" s="147">
        <v>6.8</v>
      </c>
      <c r="N18" s="147">
        <v>10.7</v>
      </c>
      <c r="O18" s="147">
        <v>0.9</v>
      </c>
      <c r="P18" s="147">
        <v>18.7</v>
      </c>
      <c r="Q18" s="147">
        <v>83.3</v>
      </c>
      <c r="R18" s="147">
        <v>82.7</v>
      </c>
      <c r="S18" s="147">
        <v>78</v>
      </c>
      <c r="T18" s="147">
        <v>6.1</v>
      </c>
      <c r="U18" s="147">
        <v>19.100000000000001</v>
      </c>
      <c r="V18" s="147">
        <v>45.1</v>
      </c>
      <c r="W18" s="147">
        <v>46.8</v>
      </c>
      <c r="X18" s="147">
        <v>1.7</v>
      </c>
      <c r="Y18" s="147">
        <v>4.9000000000000004</v>
      </c>
      <c r="Z18" s="147">
        <v>7.1</v>
      </c>
      <c r="AA18" s="147">
        <v>4</v>
      </c>
      <c r="AB18" s="147">
        <v>3.8</v>
      </c>
      <c r="AC18" s="147">
        <v>0</v>
      </c>
      <c r="AD18" s="147">
        <v>5.2</v>
      </c>
      <c r="AE18" s="147">
        <v>1.1000000000000001</v>
      </c>
      <c r="AF18" s="147">
        <v>1.6</v>
      </c>
      <c r="AG18" s="147">
        <v>29.3</v>
      </c>
      <c r="AJ18" s="78"/>
      <c r="AK18" s="78"/>
    </row>
    <row r="19" spans="1:37" x14ac:dyDescent="0.3">
      <c r="A19" s="67">
        <v>1927</v>
      </c>
      <c r="B19" s="7" t="s">
        <v>45</v>
      </c>
      <c r="C19" s="147">
        <v>1544</v>
      </c>
      <c r="D19" s="147">
        <v>50.6</v>
      </c>
      <c r="E19" s="147">
        <v>49.4</v>
      </c>
      <c r="F19" s="147">
        <v>1</v>
      </c>
      <c r="G19" s="147">
        <v>5.2</v>
      </c>
      <c r="H19" s="147">
        <v>11.5</v>
      </c>
      <c r="I19" s="147">
        <v>4</v>
      </c>
      <c r="J19" s="147">
        <v>6.6</v>
      </c>
      <c r="K19" s="147">
        <v>48.6</v>
      </c>
      <c r="L19" s="147">
        <v>15.5</v>
      </c>
      <c r="M19" s="147">
        <v>7.6</v>
      </c>
      <c r="N19" s="147">
        <v>12.9</v>
      </c>
      <c r="O19" s="147">
        <v>1.1000000000000001</v>
      </c>
      <c r="P19" s="147">
        <v>19.7</v>
      </c>
      <c r="Q19" s="147">
        <v>61.5</v>
      </c>
      <c r="R19" s="147">
        <v>82.7</v>
      </c>
      <c r="S19" s="147">
        <v>78</v>
      </c>
      <c r="T19" s="147">
        <v>7.1</v>
      </c>
      <c r="U19" s="147">
        <v>11</v>
      </c>
      <c r="V19" s="147">
        <v>77.099999999999994</v>
      </c>
      <c r="W19" s="147">
        <v>48.6</v>
      </c>
      <c r="X19" s="147">
        <v>1.7</v>
      </c>
      <c r="Y19" s="147">
        <v>10</v>
      </c>
      <c r="Z19" s="147">
        <v>17.7</v>
      </c>
      <c r="AA19" s="147">
        <v>19.8</v>
      </c>
      <c r="AB19" s="147">
        <v>16.8</v>
      </c>
      <c r="AC19" s="147">
        <v>0</v>
      </c>
      <c r="AD19" s="147">
        <v>16.7</v>
      </c>
      <c r="AE19" s="147">
        <v>0.4</v>
      </c>
      <c r="AF19" s="147">
        <v>0.8</v>
      </c>
      <c r="AG19" s="147">
        <v>33.299999999999997</v>
      </c>
      <c r="AJ19" s="78"/>
      <c r="AK19" s="78"/>
    </row>
    <row r="20" spans="1:37" x14ac:dyDescent="0.3">
      <c r="A20" s="67">
        <v>1928</v>
      </c>
      <c r="B20" s="7" t="s">
        <v>49</v>
      </c>
      <c r="C20" s="147">
        <v>884</v>
      </c>
      <c r="D20" s="147">
        <v>48.8</v>
      </c>
      <c r="E20" s="147">
        <v>51.2</v>
      </c>
      <c r="F20" s="147">
        <v>0.6</v>
      </c>
      <c r="G20" s="147">
        <v>3.6</v>
      </c>
      <c r="H20" s="147">
        <v>10.5</v>
      </c>
      <c r="I20" s="147">
        <v>2.7</v>
      </c>
      <c r="J20" s="147">
        <v>7.1</v>
      </c>
      <c r="K20" s="147">
        <v>52</v>
      </c>
      <c r="L20" s="147">
        <v>16.2</v>
      </c>
      <c r="M20" s="147">
        <v>7.2</v>
      </c>
      <c r="N20" s="147">
        <v>11.2</v>
      </c>
      <c r="O20" s="147">
        <v>2</v>
      </c>
      <c r="P20" s="147">
        <v>17.7</v>
      </c>
      <c r="Q20" s="147">
        <v>73.400000000000006</v>
      </c>
      <c r="R20" s="147">
        <v>82.7</v>
      </c>
      <c r="S20" s="147">
        <v>78</v>
      </c>
      <c r="T20" s="147">
        <v>9</v>
      </c>
      <c r="U20" s="147">
        <v>23.8</v>
      </c>
      <c r="V20" s="147">
        <v>73.5</v>
      </c>
      <c r="W20" s="147">
        <v>56.6</v>
      </c>
      <c r="X20" s="147">
        <v>1.7</v>
      </c>
      <c r="Y20" s="147">
        <v>12.1</v>
      </c>
      <c r="Z20" s="147">
        <v>13.5</v>
      </c>
      <c r="AA20" s="147">
        <v>9.4</v>
      </c>
      <c r="AB20" s="147">
        <v>16.7</v>
      </c>
      <c r="AC20" s="147">
        <v>41.2</v>
      </c>
      <c r="AD20" s="147">
        <v>24</v>
      </c>
      <c r="AE20" s="147">
        <v>6.2</v>
      </c>
      <c r="AF20" s="147">
        <v>4.8</v>
      </c>
      <c r="AG20" s="147">
        <v>15.7</v>
      </c>
      <c r="AJ20" s="78"/>
      <c r="AK20" s="78"/>
    </row>
    <row r="21" spans="1:37" x14ac:dyDescent="0.3">
      <c r="A21" s="67">
        <v>1929</v>
      </c>
      <c r="B21" s="7" t="s">
        <v>53</v>
      </c>
      <c r="C21" s="147">
        <v>905</v>
      </c>
      <c r="D21" s="147">
        <v>48.4</v>
      </c>
      <c r="E21" s="147">
        <v>51.6</v>
      </c>
      <c r="F21" s="147">
        <v>0.3</v>
      </c>
      <c r="G21" s="147">
        <v>5.2</v>
      </c>
      <c r="H21" s="147">
        <v>9.6999999999999993</v>
      </c>
      <c r="I21" s="147">
        <v>2.5</v>
      </c>
      <c r="J21" s="147">
        <v>9.1</v>
      </c>
      <c r="K21" s="147">
        <v>53</v>
      </c>
      <c r="L21" s="147">
        <v>14</v>
      </c>
      <c r="M21" s="147">
        <v>6.1</v>
      </c>
      <c r="N21" s="147">
        <v>10.3</v>
      </c>
      <c r="O21" s="147">
        <v>3.6</v>
      </c>
      <c r="P21" s="147">
        <v>16.2</v>
      </c>
      <c r="Q21" s="147">
        <v>70.900000000000006</v>
      </c>
      <c r="R21" s="147">
        <v>82.7</v>
      </c>
      <c r="S21" s="147">
        <v>78</v>
      </c>
      <c r="T21" s="147">
        <v>3.3</v>
      </c>
      <c r="U21" s="147">
        <v>21</v>
      </c>
      <c r="V21" s="147">
        <v>65.2</v>
      </c>
      <c r="W21" s="147">
        <v>61.9</v>
      </c>
      <c r="X21" s="147">
        <v>1.7</v>
      </c>
      <c r="Y21" s="147">
        <v>16.7</v>
      </c>
      <c r="Z21" s="147">
        <v>26</v>
      </c>
      <c r="AA21" s="147">
        <v>25.5</v>
      </c>
      <c r="AB21" s="147">
        <v>22.9</v>
      </c>
      <c r="AC21" s="147">
        <v>30.1</v>
      </c>
      <c r="AD21" s="147">
        <v>10.5</v>
      </c>
      <c r="AE21" s="147">
        <v>1.1000000000000001</v>
      </c>
      <c r="AF21" s="147">
        <v>3.4</v>
      </c>
      <c r="AG21" s="147">
        <v>11.5</v>
      </c>
      <c r="AJ21" s="78"/>
      <c r="AK21" s="78"/>
    </row>
    <row r="22" spans="1:37" x14ac:dyDescent="0.3">
      <c r="A22" s="67">
        <v>1931</v>
      </c>
      <c r="B22" s="7" t="s">
        <v>56</v>
      </c>
      <c r="C22" s="147">
        <v>11535</v>
      </c>
      <c r="D22" s="147">
        <v>49.2</v>
      </c>
      <c r="E22" s="147">
        <v>50.8</v>
      </c>
      <c r="F22" s="147">
        <v>1</v>
      </c>
      <c r="G22" s="147">
        <v>6.1</v>
      </c>
      <c r="H22" s="147">
        <v>13.4</v>
      </c>
      <c r="I22" s="147">
        <v>4.8</v>
      </c>
      <c r="J22" s="147">
        <v>7.6</v>
      </c>
      <c r="K22" s="147">
        <v>52</v>
      </c>
      <c r="L22" s="147">
        <v>10.7</v>
      </c>
      <c r="M22" s="147">
        <v>4.5</v>
      </c>
      <c r="N22" s="147">
        <v>10.7</v>
      </c>
      <c r="O22" s="147">
        <v>2.4</v>
      </c>
      <c r="P22" s="147">
        <v>16.3</v>
      </c>
      <c r="Q22" s="147">
        <v>71.2</v>
      </c>
      <c r="R22" s="147">
        <v>82.7</v>
      </c>
      <c r="S22" s="147">
        <v>78</v>
      </c>
      <c r="T22" s="147">
        <v>9.9</v>
      </c>
      <c r="U22" s="147">
        <v>8.8000000000000007</v>
      </c>
      <c r="V22" s="147">
        <v>54.5</v>
      </c>
      <c r="W22" s="147">
        <v>58.2</v>
      </c>
      <c r="X22" s="147">
        <v>1.7</v>
      </c>
      <c r="Y22" s="147">
        <v>8.3000000000000007</v>
      </c>
      <c r="Z22" s="147">
        <v>11</v>
      </c>
      <c r="AA22" s="147">
        <v>10.4</v>
      </c>
      <c r="AB22" s="147">
        <v>8.3000000000000007</v>
      </c>
      <c r="AC22" s="147">
        <v>57.5</v>
      </c>
      <c r="AD22" s="147">
        <v>12.1</v>
      </c>
      <c r="AE22" s="147">
        <v>1.9</v>
      </c>
      <c r="AF22" s="147">
        <v>0.9</v>
      </c>
      <c r="AG22" s="147">
        <v>14.3</v>
      </c>
      <c r="AJ22" s="78"/>
      <c r="AK22" s="78"/>
    </row>
    <row r="23" spans="1:37" x14ac:dyDescent="0.3">
      <c r="A23" s="67">
        <v>1933</v>
      </c>
      <c r="B23" s="7" t="s">
        <v>60</v>
      </c>
      <c r="C23" s="147">
        <v>5720</v>
      </c>
      <c r="D23" s="147">
        <v>48.4</v>
      </c>
      <c r="E23" s="147">
        <v>51.6</v>
      </c>
      <c r="F23" s="147">
        <v>1</v>
      </c>
      <c r="G23" s="147">
        <v>4.4000000000000004</v>
      </c>
      <c r="H23" s="147">
        <v>11.5</v>
      </c>
      <c r="I23" s="147">
        <v>4.0999999999999996</v>
      </c>
      <c r="J23" s="147">
        <v>7.4</v>
      </c>
      <c r="K23" s="147">
        <v>51.5</v>
      </c>
      <c r="L23" s="147">
        <v>14.3</v>
      </c>
      <c r="M23" s="147">
        <v>5.9</v>
      </c>
      <c r="N23" s="147">
        <v>10</v>
      </c>
      <c r="O23" s="147">
        <v>1.5</v>
      </c>
      <c r="P23" s="147">
        <v>12.7</v>
      </c>
      <c r="Q23" s="147">
        <v>73.599999999999994</v>
      </c>
      <c r="R23" s="147">
        <v>82.7</v>
      </c>
      <c r="S23" s="147">
        <v>78</v>
      </c>
      <c r="T23" s="147">
        <v>9.3000000000000007</v>
      </c>
      <c r="U23" s="147">
        <v>8</v>
      </c>
      <c r="V23" s="147">
        <v>61.5</v>
      </c>
      <c r="W23" s="147">
        <v>40.4</v>
      </c>
      <c r="X23" s="147">
        <v>1.7</v>
      </c>
      <c r="Y23" s="147">
        <v>6.4</v>
      </c>
      <c r="Z23" s="147">
        <v>8.8000000000000007</v>
      </c>
      <c r="AA23" s="147">
        <v>7.5</v>
      </c>
      <c r="AB23" s="147">
        <v>4.9000000000000004</v>
      </c>
      <c r="AC23" s="147">
        <v>25.4</v>
      </c>
      <c r="AD23" s="147">
        <v>15</v>
      </c>
      <c r="AE23" s="147">
        <v>2.2999999999999998</v>
      </c>
      <c r="AF23" s="147">
        <v>1.2</v>
      </c>
      <c r="AG23" s="147">
        <v>22.8</v>
      </c>
    </row>
    <row r="24" spans="1:37" x14ac:dyDescent="0.3">
      <c r="A24" s="67">
        <v>1936</v>
      </c>
      <c r="B24" s="7" t="s">
        <v>62</v>
      </c>
      <c r="C24" s="147">
        <v>2289</v>
      </c>
      <c r="D24" s="147">
        <v>48.1</v>
      </c>
      <c r="E24" s="147">
        <v>51.9</v>
      </c>
      <c r="F24" s="147">
        <v>0.7</v>
      </c>
      <c r="G24" s="147">
        <v>4.2</v>
      </c>
      <c r="H24" s="147">
        <v>8.6999999999999993</v>
      </c>
      <c r="I24" s="147">
        <v>4.2</v>
      </c>
      <c r="J24" s="147">
        <v>6.9</v>
      </c>
      <c r="K24" s="147">
        <v>53.9</v>
      </c>
      <c r="L24" s="147">
        <v>15.4</v>
      </c>
      <c r="M24" s="147">
        <v>6.1</v>
      </c>
      <c r="N24" s="147">
        <v>11</v>
      </c>
      <c r="O24" s="147">
        <v>2</v>
      </c>
      <c r="P24" s="147">
        <v>14.6</v>
      </c>
      <c r="Q24" s="147">
        <v>71.400000000000006</v>
      </c>
      <c r="R24" s="147">
        <v>82.7</v>
      </c>
      <c r="S24" s="147">
        <v>78</v>
      </c>
      <c r="T24" s="147">
        <v>8.6999999999999993</v>
      </c>
      <c r="U24" s="147">
        <v>12.7</v>
      </c>
      <c r="V24" s="147">
        <v>53.7</v>
      </c>
      <c r="W24" s="147">
        <v>69.5</v>
      </c>
      <c r="X24" s="147">
        <v>1.7</v>
      </c>
      <c r="Y24" s="147">
        <v>10.9</v>
      </c>
      <c r="Z24" s="147">
        <v>16.2</v>
      </c>
      <c r="AA24" s="147">
        <v>15.8</v>
      </c>
      <c r="AB24" s="147">
        <v>13.7</v>
      </c>
      <c r="AC24" s="147">
        <v>20.7</v>
      </c>
      <c r="AD24" s="147">
        <v>31</v>
      </c>
      <c r="AE24" s="147">
        <v>2.6</v>
      </c>
      <c r="AF24" s="147">
        <v>0.8</v>
      </c>
      <c r="AG24" s="147">
        <v>19.5</v>
      </c>
    </row>
    <row r="25" spans="1:37" x14ac:dyDescent="0.3">
      <c r="A25" s="67">
        <v>1938</v>
      </c>
      <c r="B25" s="7" t="s">
        <v>66</v>
      </c>
      <c r="C25" s="147">
        <v>2922</v>
      </c>
      <c r="D25" s="147">
        <v>48.2</v>
      </c>
      <c r="E25" s="147">
        <v>51.8</v>
      </c>
      <c r="F25" s="147">
        <v>0.4</v>
      </c>
      <c r="G25" s="147">
        <v>3.8</v>
      </c>
      <c r="H25" s="147">
        <v>12.4</v>
      </c>
      <c r="I25" s="147">
        <v>3.7</v>
      </c>
      <c r="J25" s="147">
        <v>7.3</v>
      </c>
      <c r="K25" s="147">
        <v>50.9</v>
      </c>
      <c r="L25" s="147">
        <v>14.9</v>
      </c>
      <c r="M25" s="147">
        <v>6.7</v>
      </c>
      <c r="N25" s="147">
        <v>10.3</v>
      </c>
      <c r="O25" s="147">
        <v>2.1</v>
      </c>
      <c r="P25" s="147">
        <v>16.600000000000001</v>
      </c>
      <c r="Q25" s="147">
        <v>66.8</v>
      </c>
      <c r="R25" s="147">
        <v>82.7</v>
      </c>
      <c r="S25" s="147">
        <v>78</v>
      </c>
      <c r="T25" s="147">
        <v>3.4</v>
      </c>
      <c r="U25" s="147">
        <v>14.7</v>
      </c>
      <c r="V25" s="147">
        <v>34.9</v>
      </c>
      <c r="W25" s="147">
        <v>47.6</v>
      </c>
      <c r="X25" s="147">
        <v>1.7</v>
      </c>
      <c r="Y25" s="147">
        <v>5.9</v>
      </c>
      <c r="Z25" s="147">
        <v>8.1</v>
      </c>
      <c r="AA25" s="147">
        <v>6.2</v>
      </c>
      <c r="AB25" s="147">
        <v>6.1</v>
      </c>
      <c r="AC25" s="147">
        <v>27.3</v>
      </c>
      <c r="AD25" s="147">
        <v>17.399999999999999</v>
      </c>
      <c r="AE25" s="147">
        <v>1.9</v>
      </c>
      <c r="AF25" s="147">
        <v>1.2</v>
      </c>
      <c r="AG25" s="147">
        <v>19</v>
      </c>
    </row>
    <row r="26" spans="1:37" x14ac:dyDescent="0.3">
      <c r="A26" s="67">
        <v>1939</v>
      </c>
      <c r="B26" s="7" t="s">
        <v>70</v>
      </c>
      <c r="C26" s="147">
        <v>1898</v>
      </c>
      <c r="D26" s="147">
        <v>48.4</v>
      </c>
      <c r="E26" s="147">
        <v>51.6</v>
      </c>
      <c r="F26" s="147">
        <v>0.8</v>
      </c>
      <c r="G26" s="147">
        <v>4.9000000000000004</v>
      </c>
      <c r="H26" s="147">
        <v>11.4</v>
      </c>
      <c r="I26" s="147">
        <v>4.0999999999999996</v>
      </c>
      <c r="J26" s="147">
        <v>7.6</v>
      </c>
      <c r="K26" s="147">
        <v>55.1</v>
      </c>
      <c r="L26" s="147">
        <v>12.4</v>
      </c>
      <c r="M26" s="147">
        <v>3.7</v>
      </c>
      <c r="N26" s="147">
        <v>12.2</v>
      </c>
      <c r="O26" s="147">
        <v>3.1</v>
      </c>
      <c r="P26" s="147">
        <v>16.2</v>
      </c>
      <c r="Q26" s="147">
        <v>78.900000000000006</v>
      </c>
      <c r="R26" s="147">
        <v>82.7</v>
      </c>
      <c r="S26" s="147">
        <v>78</v>
      </c>
      <c r="T26" s="147">
        <v>8.4</v>
      </c>
      <c r="U26" s="147">
        <v>13.7</v>
      </c>
      <c r="V26" s="147">
        <v>59.5</v>
      </c>
      <c r="W26" s="147">
        <v>76.900000000000006</v>
      </c>
      <c r="X26" s="147">
        <v>1.7</v>
      </c>
      <c r="Y26" s="147">
        <v>7.1</v>
      </c>
      <c r="Z26" s="147">
        <v>1.9</v>
      </c>
      <c r="AA26" s="147">
        <v>2.2000000000000002</v>
      </c>
      <c r="AB26" s="147">
        <v>2</v>
      </c>
      <c r="AC26" s="147">
        <v>29.2</v>
      </c>
      <c r="AD26" s="147">
        <v>13</v>
      </c>
      <c r="AE26" s="147">
        <v>3.2</v>
      </c>
      <c r="AF26" s="147">
        <v>0.8</v>
      </c>
      <c r="AG26" s="147">
        <v>27.2</v>
      </c>
    </row>
    <row r="27" spans="1:37" x14ac:dyDescent="0.3">
      <c r="A27" s="67">
        <v>1940</v>
      </c>
      <c r="B27" s="7" t="s">
        <v>95</v>
      </c>
      <c r="C27" s="147">
        <v>2182</v>
      </c>
      <c r="D27" s="147">
        <v>47.4</v>
      </c>
      <c r="E27" s="147">
        <v>52.6</v>
      </c>
      <c r="F27" s="147">
        <v>0.8</v>
      </c>
      <c r="G27" s="147">
        <v>4.0999999999999996</v>
      </c>
      <c r="H27" s="147">
        <v>10.3</v>
      </c>
      <c r="I27" s="147">
        <v>3.3</v>
      </c>
      <c r="J27" s="147">
        <v>7.9</v>
      </c>
      <c r="K27" s="147">
        <v>52.2</v>
      </c>
      <c r="L27" s="147">
        <v>15.6</v>
      </c>
      <c r="M27" s="147">
        <v>5.9</v>
      </c>
      <c r="N27" s="147">
        <v>9.6</v>
      </c>
      <c r="O27" s="147">
        <v>0.5</v>
      </c>
      <c r="P27" s="147">
        <v>15.6</v>
      </c>
      <c r="Q27" s="147">
        <v>65.599999999999994</v>
      </c>
      <c r="R27" s="147">
        <v>82.7</v>
      </c>
      <c r="S27" s="147">
        <v>78</v>
      </c>
      <c r="T27" s="147">
        <v>7.8</v>
      </c>
      <c r="U27" s="147">
        <v>13.3</v>
      </c>
      <c r="V27" s="147">
        <v>48.6</v>
      </c>
      <c r="W27" s="147">
        <v>62.8</v>
      </c>
      <c r="X27" s="147">
        <v>1.7</v>
      </c>
      <c r="Y27" s="147">
        <v>5.6</v>
      </c>
      <c r="Z27" s="147">
        <v>4.7</v>
      </c>
      <c r="AA27" s="147">
        <v>3.3</v>
      </c>
      <c r="AB27" s="147">
        <v>2.2000000000000002</v>
      </c>
      <c r="AC27" s="147">
        <v>24.9</v>
      </c>
      <c r="AD27" s="147">
        <v>17.8</v>
      </c>
      <c r="AE27" s="147">
        <v>2.5</v>
      </c>
      <c r="AF27" s="147">
        <v>2.1</v>
      </c>
      <c r="AG27" s="147">
        <v>26.2</v>
      </c>
    </row>
    <row r="28" spans="1:37" x14ac:dyDescent="0.3">
      <c r="A28" s="67">
        <v>1941</v>
      </c>
      <c r="B28" s="7" t="s">
        <v>77</v>
      </c>
      <c r="C28" s="147">
        <v>2895</v>
      </c>
      <c r="D28" s="147">
        <v>49</v>
      </c>
      <c r="E28" s="147">
        <v>51</v>
      </c>
      <c r="F28" s="147">
        <v>1</v>
      </c>
      <c r="G28" s="147">
        <v>4.7</v>
      </c>
      <c r="H28" s="147">
        <v>11.2</v>
      </c>
      <c r="I28" s="147">
        <v>4.5</v>
      </c>
      <c r="J28" s="147">
        <v>9.6999999999999993</v>
      </c>
      <c r="K28" s="147">
        <v>50.4</v>
      </c>
      <c r="L28" s="147">
        <v>13.8</v>
      </c>
      <c r="M28" s="147">
        <v>4.7</v>
      </c>
      <c r="N28" s="147">
        <v>10.8</v>
      </c>
      <c r="O28" s="147">
        <v>1.7</v>
      </c>
      <c r="P28" s="147">
        <v>14.3</v>
      </c>
      <c r="Q28" s="147">
        <v>65</v>
      </c>
      <c r="R28" s="147">
        <v>82.7</v>
      </c>
      <c r="S28" s="147">
        <v>78</v>
      </c>
      <c r="T28" s="147">
        <v>9.3000000000000007</v>
      </c>
      <c r="U28" s="147">
        <v>7.9</v>
      </c>
      <c r="V28" s="147">
        <v>48</v>
      </c>
      <c r="W28" s="147">
        <v>43.5</v>
      </c>
      <c r="X28" s="147">
        <v>1.7</v>
      </c>
      <c r="Y28" s="147">
        <v>10.1</v>
      </c>
      <c r="Z28" s="147">
        <v>13.9</v>
      </c>
      <c r="AA28" s="147">
        <v>11.7</v>
      </c>
      <c r="AB28" s="147">
        <v>9.4</v>
      </c>
      <c r="AC28" s="147">
        <v>79.900000000000006</v>
      </c>
      <c r="AD28" s="147">
        <v>8.5</v>
      </c>
      <c r="AE28" s="147">
        <v>2.2999999999999998</v>
      </c>
      <c r="AF28" s="147">
        <v>1.4</v>
      </c>
      <c r="AG28" s="147">
        <v>12.3</v>
      </c>
    </row>
    <row r="29" spans="1:37" x14ac:dyDescent="0.3">
      <c r="A29" s="67">
        <v>1942</v>
      </c>
      <c r="B29" s="7" t="s">
        <v>81</v>
      </c>
      <c r="C29" s="147">
        <v>4882</v>
      </c>
      <c r="D29" s="147">
        <v>49</v>
      </c>
      <c r="E29" s="147">
        <v>51</v>
      </c>
      <c r="F29" s="147">
        <v>1.1000000000000001</v>
      </c>
      <c r="G29" s="147">
        <v>5.6</v>
      </c>
      <c r="H29" s="147">
        <v>12.4</v>
      </c>
      <c r="I29" s="147">
        <v>3.9</v>
      </c>
      <c r="J29" s="147">
        <v>8.3000000000000007</v>
      </c>
      <c r="K29" s="147">
        <v>51.9</v>
      </c>
      <c r="L29" s="147">
        <v>11.9</v>
      </c>
      <c r="M29" s="147">
        <v>4.9000000000000004</v>
      </c>
      <c r="N29" s="147">
        <v>10.8</v>
      </c>
      <c r="O29" s="147">
        <v>2.5</v>
      </c>
      <c r="P29" s="147">
        <v>13.5</v>
      </c>
      <c r="Q29" s="147">
        <v>72.099999999999994</v>
      </c>
      <c r="R29" s="147">
        <v>82.7</v>
      </c>
      <c r="S29" s="147">
        <v>78</v>
      </c>
      <c r="T29" s="147">
        <v>10.4</v>
      </c>
      <c r="U29" s="147">
        <v>11.5</v>
      </c>
      <c r="V29" s="147">
        <v>45.3</v>
      </c>
      <c r="W29" s="147">
        <v>38.9</v>
      </c>
      <c r="X29" s="147">
        <v>1.7</v>
      </c>
      <c r="Y29" s="147">
        <v>5.9</v>
      </c>
      <c r="Z29" s="147">
        <v>7.1</v>
      </c>
      <c r="AA29" s="147">
        <v>7.4</v>
      </c>
      <c r="AB29" s="147">
        <v>6.1</v>
      </c>
      <c r="AC29" s="147">
        <v>54.5</v>
      </c>
      <c r="AD29" s="147">
        <v>8.6999999999999993</v>
      </c>
      <c r="AE29" s="147">
        <v>3.4</v>
      </c>
      <c r="AF29" s="147">
        <v>1.4</v>
      </c>
      <c r="AG29" s="147">
        <v>17</v>
      </c>
    </row>
    <row r="30" spans="1:37" x14ac:dyDescent="0.3">
      <c r="A30" s="67">
        <v>1943</v>
      </c>
      <c r="B30" s="7" t="s">
        <v>84</v>
      </c>
      <c r="C30" s="147">
        <v>1226</v>
      </c>
      <c r="D30" s="147">
        <v>47.4</v>
      </c>
      <c r="E30" s="147">
        <v>52.6</v>
      </c>
      <c r="F30" s="147">
        <v>0.8</v>
      </c>
      <c r="G30" s="147">
        <v>4.2</v>
      </c>
      <c r="H30" s="147">
        <v>10.4</v>
      </c>
      <c r="I30" s="147">
        <v>3.9</v>
      </c>
      <c r="J30" s="147">
        <v>8.5</v>
      </c>
      <c r="K30" s="147">
        <v>49.4</v>
      </c>
      <c r="L30" s="147">
        <v>16.7</v>
      </c>
      <c r="M30" s="147">
        <v>6</v>
      </c>
      <c r="N30" s="147">
        <v>11.9</v>
      </c>
      <c r="O30" s="147">
        <v>1.2</v>
      </c>
      <c r="P30" s="147">
        <v>16.100000000000001</v>
      </c>
      <c r="Q30" s="147">
        <v>74</v>
      </c>
      <c r="R30" s="147">
        <v>82.7</v>
      </c>
      <c r="S30" s="147">
        <v>78</v>
      </c>
      <c r="T30" s="147">
        <v>9</v>
      </c>
      <c r="U30" s="147">
        <v>15.5</v>
      </c>
      <c r="V30" s="147">
        <v>48.9</v>
      </c>
      <c r="W30" s="147">
        <v>48.9</v>
      </c>
      <c r="X30" s="147">
        <v>1.7</v>
      </c>
      <c r="Y30" s="147">
        <v>4.8</v>
      </c>
      <c r="Z30" s="147">
        <v>6.5</v>
      </c>
      <c r="AA30" s="147">
        <v>7.7</v>
      </c>
      <c r="AB30" s="147">
        <v>5.2</v>
      </c>
      <c r="AC30" s="147">
        <v>32.9</v>
      </c>
      <c r="AD30" s="147">
        <v>19.3</v>
      </c>
      <c r="AE30" s="147">
        <v>4.5999999999999996</v>
      </c>
      <c r="AF30" s="147">
        <v>1.3</v>
      </c>
      <c r="AG30" s="147">
        <v>20.7</v>
      </c>
    </row>
    <row r="31" spans="1:37" x14ac:dyDescent="0.3">
      <c r="A31" s="67" t="s">
        <v>175</v>
      </c>
      <c r="B31" s="7" t="s">
        <v>88</v>
      </c>
      <c r="C31" s="79" t="s">
        <v>277</v>
      </c>
      <c r="D31" s="78">
        <v>49.2</v>
      </c>
      <c r="E31" s="78">
        <v>50.8</v>
      </c>
      <c r="F31" s="78">
        <v>1.1000000000000001</v>
      </c>
      <c r="G31" s="78">
        <v>5.7</v>
      </c>
      <c r="H31" s="78">
        <v>11.7</v>
      </c>
      <c r="I31" s="78">
        <v>3.9</v>
      </c>
      <c r="J31" s="78">
        <v>8.8000000000000007</v>
      </c>
      <c r="K31" s="78">
        <v>54.6</v>
      </c>
      <c r="L31" s="78">
        <v>10.199999999999999</v>
      </c>
      <c r="M31" s="78">
        <v>4</v>
      </c>
      <c r="N31" s="78">
        <v>10</v>
      </c>
      <c r="O31" s="78">
        <v>1.9</v>
      </c>
      <c r="P31" s="78">
        <v>10.6</v>
      </c>
      <c r="Q31" s="78">
        <v>68</v>
      </c>
      <c r="R31" s="78">
        <v>82.7</v>
      </c>
      <c r="S31" s="78">
        <v>78</v>
      </c>
      <c r="T31" s="78">
        <v>10.7</v>
      </c>
      <c r="U31" s="78">
        <v>7.9</v>
      </c>
      <c r="V31" s="78">
        <v>57.4</v>
      </c>
      <c r="W31" s="78">
        <v>51.7</v>
      </c>
      <c r="X31" s="78">
        <v>1.7</v>
      </c>
      <c r="Y31" s="78">
        <v>10.1</v>
      </c>
      <c r="Z31" s="78">
        <v>11.1</v>
      </c>
      <c r="AA31" s="78">
        <v>10.6</v>
      </c>
      <c r="AB31" s="78">
        <v>8.8000000000000007</v>
      </c>
      <c r="AC31" s="78">
        <v>68.8</v>
      </c>
      <c r="AD31" s="78">
        <v>9.9</v>
      </c>
      <c r="AE31" s="78">
        <v>2</v>
      </c>
      <c r="AF31" s="78">
        <v>1.2</v>
      </c>
      <c r="AG31" s="78">
        <v>21.3</v>
      </c>
    </row>
    <row r="32" spans="1:37" x14ac:dyDescent="0.3">
      <c r="A32" s="67" t="s">
        <v>176</v>
      </c>
      <c r="B32" s="7" t="s">
        <v>176</v>
      </c>
      <c r="C32" s="79" t="s">
        <v>277</v>
      </c>
      <c r="D32" s="78">
        <v>49.3</v>
      </c>
      <c r="E32" s="78">
        <v>50.7</v>
      </c>
      <c r="F32" s="78">
        <v>1</v>
      </c>
      <c r="G32" s="78">
        <v>5.4</v>
      </c>
      <c r="H32" s="78">
        <v>12</v>
      </c>
      <c r="I32" s="78">
        <v>4</v>
      </c>
      <c r="J32" s="78">
        <v>7.3</v>
      </c>
      <c r="K32" s="78">
        <v>52.3</v>
      </c>
      <c r="L32" s="78">
        <v>12.1</v>
      </c>
      <c r="M32" s="78">
        <v>5.8</v>
      </c>
      <c r="N32" s="78">
        <v>10</v>
      </c>
      <c r="O32" s="78">
        <v>1.4</v>
      </c>
      <c r="P32" s="78">
        <v>11.4</v>
      </c>
      <c r="Q32" s="78">
        <v>66.2</v>
      </c>
      <c r="R32" s="78">
        <v>83</v>
      </c>
      <c r="S32" s="78">
        <v>78.5</v>
      </c>
      <c r="T32" s="78">
        <v>9.6</v>
      </c>
      <c r="U32" s="78">
        <v>10.3</v>
      </c>
      <c r="V32" s="78">
        <v>52.1</v>
      </c>
      <c r="W32" s="78">
        <v>50.3</v>
      </c>
      <c r="X32" s="78">
        <v>1.8</v>
      </c>
      <c r="Y32" s="78">
        <v>8.9</v>
      </c>
      <c r="Z32" s="78">
        <v>11.1</v>
      </c>
      <c r="AA32" s="78">
        <v>10.9</v>
      </c>
      <c r="AB32" s="78">
        <v>8.9</v>
      </c>
      <c r="AC32" s="78">
        <v>41.5</v>
      </c>
      <c r="AD32" s="78">
        <v>7.8</v>
      </c>
      <c r="AE32" s="78">
        <v>2</v>
      </c>
      <c r="AF32" s="78">
        <v>1.2</v>
      </c>
      <c r="AG32" s="78">
        <v>31.6</v>
      </c>
    </row>
    <row r="33" spans="1:33" x14ac:dyDescent="0.3">
      <c r="A33" s="67" t="s">
        <v>177</v>
      </c>
      <c r="B33" s="7" t="s">
        <v>177</v>
      </c>
      <c r="C33" s="79" t="s">
        <v>277</v>
      </c>
      <c r="D33" s="78">
        <v>48.9</v>
      </c>
      <c r="E33" s="78">
        <v>51.1</v>
      </c>
      <c r="F33" s="78">
        <v>1</v>
      </c>
      <c r="G33" s="78">
        <v>5.3</v>
      </c>
      <c r="H33" s="78">
        <v>11.9</v>
      </c>
      <c r="I33" s="78">
        <v>4</v>
      </c>
      <c r="J33" s="78">
        <v>7.7</v>
      </c>
      <c r="K33" s="78">
        <v>52.9</v>
      </c>
      <c r="L33" s="78">
        <v>11.7</v>
      </c>
      <c r="M33" s="78">
        <v>5.6</v>
      </c>
      <c r="N33" s="78">
        <v>9.9</v>
      </c>
      <c r="O33" s="78">
        <v>1.4</v>
      </c>
      <c r="P33" s="78">
        <v>10.9</v>
      </c>
      <c r="Q33" s="78">
        <v>66.7</v>
      </c>
      <c r="R33" s="78">
        <v>82.8</v>
      </c>
      <c r="S33" s="78">
        <v>78.099999999999994</v>
      </c>
      <c r="T33" s="78">
        <v>9.6999999999999993</v>
      </c>
      <c r="U33" s="78">
        <v>10.1</v>
      </c>
      <c r="V33" s="78">
        <v>49.9</v>
      </c>
      <c r="W33" s="78">
        <v>45.8</v>
      </c>
      <c r="X33" s="78">
        <v>1.8</v>
      </c>
      <c r="Y33" s="78">
        <v>9.9</v>
      </c>
      <c r="Z33" s="78">
        <v>11.9</v>
      </c>
      <c r="AA33" s="78">
        <v>11.7</v>
      </c>
      <c r="AB33" s="78">
        <v>9.6999999999999993</v>
      </c>
      <c r="AC33" s="78">
        <v>51.3</v>
      </c>
      <c r="AD33" s="78">
        <v>9.1999999999999993</v>
      </c>
      <c r="AE33" s="78">
        <v>2.4</v>
      </c>
      <c r="AF33" s="78">
        <v>1.4</v>
      </c>
      <c r="AG33" s="78">
        <v>21.7</v>
      </c>
    </row>
    <row r="34" spans="1:33" s="76" customFormat="1" x14ac:dyDescent="0.3">
      <c r="A34" s="67" t="s">
        <v>377</v>
      </c>
      <c r="B34" s="8" t="s">
        <v>377</v>
      </c>
      <c r="C34" s="79" t="s">
        <v>277</v>
      </c>
      <c r="D34" s="78">
        <v>49</v>
      </c>
      <c r="E34" s="78">
        <v>51</v>
      </c>
      <c r="F34" s="78">
        <v>1</v>
      </c>
      <c r="G34" s="78">
        <v>5.6</v>
      </c>
      <c r="H34" s="78">
        <v>12.5</v>
      </c>
      <c r="I34" s="78">
        <v>4.2</v>
      </c>
      <c r="J34" s="78">
        <v>7.1</v>
      </c>
      <c r="K34" s="78">
        <v>51</v>
      </c>
      <c r="L34" s="78">
        <v>12.5</v>
      </c>
      <c r="M34" s="78">
        <v>6.1</v>
      </c>
      <c r="N34" s="78">
        <v>9.3000000000000007</v>
      </c>
      <c r="O34" s="78">
        <v>1.3</v>
      </c>
      <c r="P34" s="78">
        <v>11.4</v>
      </c>
      <c r="Q34" s="78">
        <v>60.8</v>
      </c>
      <c r="R34" s="78">
        <v>83.1</v>
      </c>
      <c r="S34" s="78">
        <v>78.599999999999994</v>
      </c>
      <c r="T34" s="78">
        <v>9.6</v>
      </c>
      <c r="U34" s="78">
        <v>11.2</v>
      </c>
      <c r="V34" s="78">
        <v>48.4</v>
      </c>
      <c r="W34" s="78">
        <v>44.4</v>
      </c>
      <c r="X34" s="78">
        <v>1.8</v>
      </c>
      <c r="Y34" s="78">
        <v>9</v>
      </c>
      <c r="Z34" s="78">
        <v>12.7</v>
      </c>
      <c r="AA34" s="78">
        <v>11.8</v>
      </c>
      <c r="AB34" s="78">
        <v>8.9</v>
      </c>
      <c r="AC34" s="78">
        <v>28.7</v>
      </c>
      <c r="AD34" s="78">
        <v>14.1</v>
      </c>
      <c r="AE34" s="78">
        <v>2.4</v>
      </c>
      <c r="AF34" s="78">
        <v>1.3</v>
      </c>
      <c r="AG34" s="78">
        <v>27.2</v>
      </c>
    </row>
    <row r="35" spans="1:33" x14ac:dyDescent="0.3">
      <c r="A35" s="67" t="s">
        <v>178</v>
      </c>
      <c r="B35" s="7" t="s">
        <v>178</v>
      </c>
      <c r="C35" s="79" t="s">
        <v>277</v>
      </c>
      <c r="D35" s="78">
        <v>48.9</v>
      </c>
      <c r="E35" s="78">
        <v>51.1</v>
      </c>
      <c r="F35" s="78">
        <v>0.9</v>
      </c>
      <c r="G35" s="78">
        <v>4.7</v>
      </c>
      <c r="H35" s="78">
        <v>11.7</v>
      </c>
      <c r="I35" s="78">
        <v>4</v>
      </c>
      <c r="J35" s="78">
        <v>7.1</v>
      </c>
      <c r="K35" s="78">
        <v>51.3</v>
      </c>
      <c r="L35" s="78">
        <v>13.6</v>
      </c>
      <c r="M35" s="78">
        <v>6.7</v>
      </c>
      <c r="N35" s="78">
        <v>9.6999999999999993</v>
      </c>
      <c r="O35" s="78">
        <v>1.2</v>
      </c>
      <c r="P35" s="78">
        <v>12.6</v>
      </c>
      <c r="Q35" s="78">
        <v>67.3</v>
      </c>
      <c r="R35" s="78">
        <v>82.9</v>
      </c>
      <c r="S35" s="78">
        <v>78.400000000000006</v>
      </c>
      <c r="T35" s="78">
        <v>8.4</v>
      </c>
      <c r="U35" s="78">
        <v>11.9</v>
      </c>
      <c r="V35" s="78">
        <v>45</v>
      </c>
      <c r="W35" s="78">
        <v>46.6</v>
      </c>
      <c r="X35" s="78">
        <v>1.8</v>
      </c>
      <c r="Y35" s="78">
        <v>8.6</v>
      </c>
      <c r="Z35" s="78">
        <v>12.7</v>
      </c>
      <c r="AA35" s="78">
        <v>12</v>
      </c>
      <c r="AB35" s="78">
        <v>10</v>
      </c>
      <c r="AC35" s="78">
        <v>24.3</v>
      </c>
      <c r="AD35" s="78">
        <v>11.9</v>
      </c>
      <c r="AE35" s="78">
        <v>1.8</v>
      </c>
      <c r="AF35" s="78">
        <v>1.3</v>
      </c>
      <c r="AG35" s="78">
        <v>27</v>
      </c>
    </row>
    <row r="36" spans="1:33" x14ac:dyDescent="0.3">
      <c r="A36" s="67" t="s">
        <v>179</v>
      </c>
      <c r="B36" s="7" t="s">
        <v>179</v>
      </c>
      <c r="C36" s="79" t="s">
        <v>277</v>
      </c>
      <c r="D36" s="78">
        <v>48.3</v>
      </c>
      <c r="E36" s="78">
        <v>51.7</v>
      </c>
      <c r="F36" s="78">
        <v>0.8</v>
      </c>
      <c r="G36" s="78">
        <v>4.5999999999999996</v>
      </c>
      <c r="H36" s="78">
        <v>11.2</v>
      </c>
      <c r="I36" s="78">
        <v>4</v>
      </c>
      <c r="J36" s="78">
        <v>7.5</v>
      </c>
      <c r="K36" s="78">
        <v>51.9</v>
      </c>
      <c r="L36" s="78">
        <v>13.7</v>
      </c>
      <c r="M36" s="78">
        <v>6.4</v>
      </c>
      <c r="N36" s="78">
        <v>10.3</v>
      </c>
      <c r="O36" s="78">
        <v>1.3</v>
      </c>
      <c r="P36" s="78">
        <v>12.7</v>
      </c>
      <c r="Q36" s="78">
        <v>69.599999999999994</v>
      </c>
      <c r="R36" s="78">
        <v>82.7</v>
      </c>
      <c r="S36" s="78">
        <v>78</v>
      </c>
      <c r="T36" s="78">
        <v>7.9</v>
      </c>
      <c r="U36" s="78">
        <v>12.7</v>
      </c>
      <c r="V36" s="78">
        <v>54.7</v>
      </c>
      <c r="W36" s="78">
        <v>56.6</v>
      </c>
      <c r="X36" s="78">
        <v>1.7</v>
      </c>
      <c r="Y36" s="78">
        <v>10.199999999999999</v>
      </c>
      <c r="Z36" s="78">
        <v>13.1</v>
      </c>
      <c r="AA36" s="78">
        <v>12.6</v>
      </c>
      <c r="AB36" s="78">
        <v>11</v>
      </c>
      <c r="AC36" s="78">
        <v>35.200000000000003</v>
      </c>
      <c r="AD36" s="78">
        <v>13.5</v>
      </c>
      <c r="AE36" s="78">
        <v>2.1</v>
      </c>
      <c r="AF36" s="78">
        <v>1.5</v>
      </c>
      <c r="AG36" s="78">
        <v>21.6</v>
      </c>
    </row>
    <row r="37" spans="1:33" x14ac:dyDescent="0.3">
      <c r="A37" s="67" t="s">
        <v>180</v>
      </c>
      <c r="B37" s="7" t="s">
        <v>180</v>
      </c>
      <c r="C37" s="79" t="s">
        <v>277</v>
      </c>
      <c r="D37" s="78">
        <v>49.4</v>
      </c>
      <c r="E37" s="78">
        <v>50.6</v>
      </c>
      <c r="F37" s="78">
        <v>1</v>
      </c>
      <c r="G37" s="78">
        <v>5.7</v>
      </c>
      <c r="H37" s="78">
        <v>12.4</v>
      </c>
      <c r="I37" s="78">
        <v>4.2</v>
      </c>
      <c r="J37" s="78">
        <v>7.9</v>
      </c>
      <c r="K37" s="78">
        <v>52.5</v>
      </c>
      <c r="L37" s="78">
        <v>11.2</v>
      </c>
      <c r="M37" s="78">
        <v>5.2</v>
      </c>
      <c r="N37" s="78">
        <v>10.4</v>
      </c>
      <c r="O37" s="78">
        <v>1.7</v>
      </c>
      <c r="P37" s="78">
        <v>11.2</v>
      </c>
      <c r="Q37" s="78">
        <v>65.7</v>
      </c>
      <c r="R37" s="78">
        <v>83</v>
      </c>
      <c r="S37" s="78">
        <v>78.5</v>
      </c>
      <c r="T37" s="78">
        <v>10.1</v>
      </c>
      <c r="U37" s="78">
        <v>9.3000000000000007</v>
      </c>
      <c r="V37" s="78">
        <v>49</v>
      </c>
      <c r="W37" s="78">
        <v>43.7</v>
      </c>
      <c r="X37" s="78">
        <v>1.8</v>
      </c>
      <c r="Y37" s="78">
        <v>9.5</v>
      </c>
      <c r="Z37" s="78">
        <v>11.9</v>
      </c>
      <c r="AA37" s="78">
        <v>11.5</v>
      </c>
      <c r="AB37" s="78">
        <v>9.8000000000000007</v>
      </c>
      <c r="AC37" s="78">
        <v>61.2</v>
      </c>
      <c r="AD37" s="78">
        <v>8.3000000000000007</v>
      </c>
      <c r="AE37" s="78">
        <v>2.2999999999999998</v>
      </c>
      <c r="AF37" s="78">
        <v>1.5</v>
      </c>
      <c r="AG37" s="78">
        <v>24.5</v>
      </c>
    </row>
    <row r="38" spans="1:33" x14ac:dyDescent="0.3">
      <c r="A38" s="67" t="s">
        <v>181</v>
      </c>
      <c r="B38" s="7" t="s">
        <v>181</v>
      </c>
      <c r="C38" s="79" t="s">
        <v>277</v>
      </c>
      <c r="D38" s="78">
        <v>49.4</v>
      </c>
      <c r="E38" s="78">
        <v>50.6</v>
      </c>
      <c r="F38" s="78">
        <v>1.1000000000000001</v>
      </c>
      <c r="G38" s="78">
        <v>5.9</v>
      </c>
      <c r="H38" s="78">
        <v>12.6</v>
      </c>
      <c r="I38" s="78">
        <v>4.2</v>
      </c>
      <c r="J38" s="78">
        <v>8</v>
      </c>
      <c r="K38" s="78">
        <v>53</v>
      </c>
      <c r="L38" s="78">
        <v>10.5</v>
      </c>
      <c r="M38" s="78">
        <v>4.7</v>
      </c>
      <c r="N38" s="78">
        <v>10.3</v>
      </c>
      <c r="O38" s="78">
        <v>1.9</v>
      </c>
      <c r="P38" s="78">
        <v>11</v>
      </c>
      <c r="Q38" s="78">
        <v>65.900000000000006</v>
      </c>
      <c r="R38" s="78">
        <v>82.8</v>
      </c>
      <c r="S38" s="78">
        <v>78.099999999999994</v>
      </c>
      <c r="T38" s="78">
        <v>10.8</v>
      </c>
      <c r="U38" s="78">
        <v>9.1</v>
      </c>
      <c r="V38" s="78">
        <v>50.2</v>
      </c>
      <c r="W38" s="78">
        <v>46.5</v>
      </c>
      <c r="X38" s="78">
        <v>1.8</v>
      </c>
      <c r="Y38" s="78">
        <v>9.8000000000000007</v>
      </c>
      <c r="Z38" s="78">
        <v>11.5</v>
      </c>
      <c r="AA38" s="78">
        <v>11</v>
      </c>
      <c r="AB38" s="78">
        <v>9.6</v>
      </c>
      <c r="AC38" s="78">
        <v>69</v>
      </c>
      <c r="AD38" s="78">
        <v>9</v>
      </c>
      <c r="AE38" s="78">
        <v>2.2999999999999998</v>
      </c>
      <c r="AF38" s="78">
        <v>1.4</v>
      </c>
      <c r="AG38" s="78">
        <v>17.600000000000001</v>
      </c>
    </row>
    <row r="39" spans="1:33" x14ac:dyDescent="0.3">
      <c r="A39" s="67" t="s">
        <v>182</v>
      </c>
      <c r="B39" s="7" t="s">
        <v>182</v>
      </c>
      <c r="C39" s="79" t="s">
        <v>277</v>
      </c>
      <c r="D39" s="78">
        <v>50</v>
      </c>
      <c r="E39" s="78">
        <v>50</v>
      </c>
      <c r="F39" s="78">
        <v>1.1000000000000001</v>
      </c>
      <c r="G39" s="78">
        <v>6.1</v>
      </c>
      <c r="H39" s="78">
        <v>12.5</v>
      </c>
      <c r="I39" s="78">
        <v>3.9</v>
      </c>
      <c r="J39" s="78">
        <v>7.8</v>
      </c>
      <c r="K39" s="78">
        <v>54.5</v>
      </c>
      <c r="L39" s="78">
        <v>9.8000000000000007</v>
      </c>
      <c r="M39" s="78">
        <v>4.2</v>
      </c>
      <c r="N39" s="78">
        <v>11.8</v>
      </c>
      <c r="O39" s="78">
        <v>1.7</v>
      </c>
      <c r="P39" s="78">
        <v>8.9</v>
      </c>
      <c r="Q39" s="78">
        <v>63.3</v>
      </c>
      <c r="R39" s="78">
        <v>82.8</v>
      </c>
      <c r="S39" s="78">
        <v>78.400000000000006</v>
      </c>
      <c r="T39" s="78">
        <v>10.8</v>
      </c>
      <c r="U39" s="78">
        <v>7.6</v>
      </c>
      <c r="V39" s="78">
        <v>61.1</v>
      </c>
      <c r="W39" s="78">
        <v>52.3</v>
      </c>
      <c r="X39" s="78">
        <v>1.8</v>
      </c>
      <c r="Y39" s="78">
        <v>15.2</v>
      </c>
      <c r="Z39" s="78">
        <v>17.600000000000001</v>
      </c>
      <c r="AA39" s="78">
        <v>17.2</v>
      </c>
      <c r="AB39" s="78">
        <v>15.3</v>
      </c>
      <c r="AC39" s="78">
        <v>88.5</v>
      </c>
      <c r="AD39" s="78">
        <v>6.4</v>
      </c>
      <c r="AE39" s="78">
        <v>2.4</v>
      </c>
      <c r="AF39" s="78">
        <v>1.8</v>
      </c>
      <c r="AG39" s="78">
        <v>32.4</v>
      </c>
    </row>
    <row r="40" spans="1:33" x14ac:dyDescent="0.3">
      <c r="A40" s="67" t="s">
        <v>378</v>
      </c>
      <c r="B40" s="8" t="s">
        <v>378</v>
      </c>
      <c r="C40" s="79" t="s">
        <v>277</v>
      </c>
      <c r="D40" s="78">
        <v>49.1</v>
      </c>
      <c r="E40" s="78">
        <v>50.9</v>
      </c>
      <c r="F40" s="78">
        <v>0.9</v>
      </c>
      <c r="G40" s="78">
        <v>5.9</v>
      </c>
      <c r="H40" s="78">
        <v>12.6</v>
      </c>
      <c r="I40" s="78">
        <v>4.3</v>
      </c>
      <c r="J40" s="78">
        <v>7.9</v>
      </c>
      <c r="K40" s="78">
        <v>51.8</v>
      </c>
      <c r="L40" s="78">
        <v>11.3</v>
      </c>
      <c r="M40" s="78">
        <v>5.3</v>
      </c>
      <c r="N40" s="78">
        <v>9.4</v>
      </c>
      <c r="O40" s="78">
        <v>1.1000000000000001</v>
      </c>
      <c r="P40" s="78">
        <v>8.5</v>
      </c>
      <c r="Q40" s="78">
        <v>64.900000000000006</v>
      </c>
      <c r="R40" s="78">
        <v>83.2</v>
      </c>
      <c r="S40" s="78">
        <v>78.5</v>
      </c>
      <c r="T40" s="78">
        <v>8.6999999999999993</v>
      </c>
      <c r="U40" s="78">
        <v>10.199999999999999</v>
      </c>
      <c r="V40" s="78">
        <v>51.2</v>
      </c>
      <c r="W40" s="78">
        <v>44.1</v>
      </c>
      <c r="X40" s="78">
        <v>1.8</v>
      </c>
      <c r="Y40" s="78">
        <v>11.2</v>
      </c>
      <c r="Z40" s="78">
        <v>14.1</v>
      </c>
      <c r="AA40" s="78">
        <v>12.9</v>
      </c>
      <c r="AB40" s="78">
        <v>11.7</v>
      </c>
      <c r="AC40" s="78">
        <v>38.6</v>
      </c>
      <c r="AD40" s="78">
        <v>8.9</v>
      </c>
      <c r="AE40" s="78">
        <v>1.1000000000000001</v>
      </c>
      <c r="AF40" s="78">
        <v>0.9</v>
      </c>
      <c r="AG40" s="78">
        <v>23.9</v>
      </c>
    </row>
    <row r="42" spans="1:33" x14ac:dyDescent="0.3">
      <c r="A42" s="7" t="s">
        <v>147</v>
      </c>
      <c r="B42" s="7"/>
    </row>
    <row r="43" spans="1:33" x14ac:dyDescent="0.3">
      <c r="A43" s="7" t="s">
        <v>148</v>
      </c>
      <c r="B43" s="7"/>
    </row>
    <row r="44" spans="1:33" x14ac:dyDescent="0.3">
      <c r="A44" s="7" t="s">
        <v>149</v>
      </c>
      <c r="B44" s="7"/>
    </row>
    <row r="45" spans="1:33" x14ac:dyDescent="0.3">
      <c r="A45" s="7" t="s">
        <v>150</v>
      </c>
      <c r="B45" s="7"/>
    </row>
    <row r="48" spans="1:33" x14ac:dyDescent="0.3">
      <c r="A48" s="7" t="s">
        <v>151</v>
      </c>
      <c r="B48" s="7"/>
    </row>
    <row r="49" spans="1:2" x14ac:dyDescent="0.3">
      <c r="A49" s="7" t="s">
        <v>152</v>
      </c>
      <c r="B49" s="7"/>
    </row>
    <row r="50" spans="1:2" x14ac:dyDescent="0.3">
      <c r="A50" s="7" t="s">
        <v>153</v>
      </c>
      <c r="B50" s="7"/>
    </row>
    <row r="53" spans="1:2" x14ac:dyDescent="0.3">
      <c r="A53" s="7" t="s">
        <v>154</v>
      </c>
      <c r="B53" s="7"/>
    </row>
    <row r="54" spans="1:2" x14ac:dyDescent="0.3">
      <c r="A54" s="7" t="s">
        <v>155</v>
      </c>
      <c r="B54" s="7"/>
    </row>
    <row r="55" spans="1:2" x14ac:dyDescent="0.3">
      <c r="A55" s="7" t="s">
        <v>156</v>
      </c>
      <c r="B55" s="7"/>
    </row>
    <row r="58" spans="1:2" x14ac:dyDescent="0.3">
      <c r="A58" s="7" t="s">
        <v>157</v>
      </c>
      <c r="B58" s="7"/>
    </row>
    <row r="59" spans="1:2" x14ac:dyDescent="0.3">
      <c r="A59" s="7" t="s">
        <v>158</v>
      </c>
      <c r="B59" s="7"/>
    </row>
    <row r="60" spans="1:2" x14ac:dyDescent="0.3">
      <c r="A60" s="7" t="s">
        <v>156</v>
      </c>
      <c r="B60" s="7"/>
    </row>
    <row r="63" spans="1:2" x14ac:dyDescent="0.3">
      <c r="A63" s="7" t="s">
        <v>159</v>
      </c>
      <c r="B63" s="7"/>
    </row>
    <row r="64" spans="1:2" x14ac:dyDescent="0.3">
      <c r="A64" s="7" t="s">
        <v>160</v>
      </c>
      <c r="B64" s="7"/>
    </row>
    <row r="67" spans="1:2" x14ac:dyDescent="0.3">
      <c r="A67" s="7" t="s">
        <v>161</v>
      </c>
      <c r="B67" s="7"/>
    </row>
    <row r="68" spans="1:2" x14ac:dyDescent="0.3">
      <c r="A68" s="7" t="s">
        <v>162</v>
      </c>
      <c r="B68" s="7"/>
    </row>
    <row r="69" spans="1:2" x14ac:dyDescent="0.3">
      <c r="A69" s="7" t="s">
        <v>163</v>
      </c>
      <c r="B69" s="7"/>
    </row>
    <row r="70" spans="1:2" x14ac:dyDescent="0.3">
      <c r="A70" s="7" t="s">
        <v>164</v>
      </c>
      <c r="B70" s="7"/>
    </row>
    <row r="71" spans="1:2" x14ac:dyDescent="0.3">
      <c r="A71" s="7" t="s">
        <v>165</v>
      </c>
      <c r="B71" s="7"/>
    </row>
    <row r="74" spans="1:2" x14ac:dyDescent="0.3">
      <c r="A74" s="7" t="s">
        <v>166</v>
      </c>
      <c r="B74" s="7"/>
    </row>
    <row r="75" spans="1:2" x14ac:dyDescent="0.3">
      <c r="A75" s="7" t="s">
        <v>167</v>
      </c>
      <c r="B75" s="7"/>
    </row>
    <row r="76" spans="1:2" x14ac:dyDescent="0.3">
      <c r="A76" s="7" t="s">
        <v>168</v>
      </c>
      <c r="B76" s="7"/>
    </row>
    <row r="77" spans="1:2" x14ac:dyDescent="0.3">
      <c r="A77" s="7" t="s">
        <v>169</v>
      </c>
      <c r="B77" s="7"/>
    </row>
    <row r="78" spans="1:2" x14ac:dyDescent="0.3">
      <c r="A78" s="7" t="s">
        <v>170</v>
      </c>
      <c r="B78" s="7"/>
    </row>
    <row r="79" spans="1:2" x14ac:dyDescent="0.3">
      <c r="A79" s="7" t="s">
        <v>171</v>
      </c>
      <c r="B79" s="7"/>
    </row>
  </sheetData>
  <pageMargins left="0.7" right="0.7" top="0.75" bottom="0.75" header="0.3" footer="0.3"/>
  <pageSetup paperSize="8" scale="48"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2">
    <tabColor rgb="FF00B050"/>
  </sheetPr>
  <dimension ref="A1:F172"/>
  <sheetViews>
    <sheetView tabSelected="1" workbookViewId="0">
      <selection activeCell="C108" sqref="C108"/>
    </sheetView>
  </sheetViews>
  <sheetFormatPr baseColWidth="10" defaultRowHeight="14.4" x14ac:dyDescent="0.3"/>
  <cols>
    <col min="1" max="1" width="36.88671875" customWidth="1"/>
    <col min="2" max="2" width="31.33203125" customWidth="1"/>
    <col min="3" max="3" width="32.6640625" customWidth="1"/>
    <col min="4" max="4" width="34.44140625" customWidth="1"/>
    <col min="5" max="5" width="26.44140625" customWidth="1"/>
    <col min="6" max="6" width="32.44140625" customWidth="1"/>
  </cols>
  <sheetData>
    <row r="1" spans="1:6" ht="32.4" x14ac:dyDescent="0.55000000000000004">
      <c r="A1" s="259" t="s">
        <v>213</v>
      </c>
      <c r="B1" s="260"/>
      <c r="C1" s="260"/>
      <c r="D1" s="260"/>
      <c r="E1" s="260"/>
      <c r="F1" s="261"/>
    </row>
    <row r="2" spans="1:6" ht="34.200000000000003" x14ac:dyDescent="0.8">
      <c r="A2" s="37" t="s">
        <v>204</v>
      </c>
      <c r="B2" s="33">
        <f>Kommunedata!A3</f>
        <v>1939</v>
      </c>
      <c r="C2" s="33" t="str">
        <f>Kommunedata!B3</f>
        <v>Storfjord</v>
      </c>
      <c r="D2" s="26"/>
      <c r="E2" s="26"/>
      <c r="F2" s="36"/>
    </row>
    <row r="3" spans="1:6" x14ac:dyDescent="0.3">
      <c r="A3" s="35"/>
      <c r="B3" s="97" t="s">
        <v>264</v>
      </c>
      <c r="C3" s="97" t="s">
        <v>264</v>
      </c>
      <c r="D3" s="97" t="s">
        <v>264</v>
      </c>
      <c r="E3" s="26"/>
      <c r="F3" s="49"/>
    </row>
    <row r="4" spans="1:6" ht="17.25" customHeight="1" x14ac:dyDescent="0.3">
      <c r="A4" s="45" t="s">
        <v>264</v>
      </c>
      <c r="B4" s="62" t="s">
        <v>264</v>
      </c>
      <c r="C4" s="109" t="s">
        <v>264</v>
      </c>
      <c r="D4" s="62" t="s">
        <v>264</v>
      </c>
      <c r="E4" s="26"/>
      <c r="F4" s="36"/>
    </row>
    <row r="5" spans="1:6" x14ac:dyDescent="0.3">
      <c r="A5" s="45" t="s">
        <v>264</v>
      </c>
      <c r="B5" s="26" t="s">
        <v>264</v>
      </c>
      <c r="C5" s="26" t="s">
        <v>264</v>
      </c>
      <c r="D5" s="62" t="s">
        <v>264</v>
      </c>
      <c r="E5" s="26"/>
      <c r="F5" s="36"/>
    </row>
    <row r="6" spans="1:6" x14ac:dyDescent="0.3">
      <c r="A6" s="45" t="s">
        <v>264</v>
      </c>
      <c r="B6" s="26" t="s">
        <v>264</v>
      </c>
      <c r="C6" s="26" t="s">
        <v>264</v>
      </c>
      <c r="D6" s="62" t="s">
        <v>264</v>
      </c>
      <c r="E6" s="26"/>
      <c r="F6" s="36"/>
    </row>
    <row r="7" spans="1:6" s="76" customFormat="1" x14ac:dyDescent="0.3">
      <c r="A7" s="45"/>
      <c r="B7" s="26"/>
      <c r="C7" s="26"/>
      <c r="D7" s="62"/>
      <c r="E7" s="26"/>
      <c r="F7" s="36"/>
    </row>
    <row r="8" spans="1:6" ht="20.25" customHeight="1" x14ac:dyDescent="0.3">
      <c r="A8" s="51" t="s">
        <v>260</v>
      </c>
      <c r="B8" s="24">
        <f>Kommunedata!B18</f>
        <v>1542.83</v>
      </c>
      <c r="C8" s="26"/>
      <c r="D8" s="257" t="s">
        <v>381</v>
      </c>
      <c r="E8" s="258"/>
      <c r="F8" s="36"/>
    </row>
    <row r="9" spans="1:6" x14ac:dyDescent="0.3">
      <c r="A9" s="39" t="s">
        <v>449</v>
      </c>
      <c r="B9" s="24">
        <f>Kommunedata!B19</f>
        <v>1885</v>
      </c>
      <c r="C9" s="26" t="s">
        <v>264</v>
      </c>
      <c r="D9" s="38" t="s">
        <v>480</v>
      </c>
      <c r="E9" s="25">
        <f>Kommunedata!$B$21</f>
        <v>204148</v>
      </c>
      <c r="F9" s="36"/>
    </row>
    <row r="10" spans="1:6" ht="35.25" customHeight="1" x14ac:dyDescent="0.3">
      <c r="A10" s="39" t="s">
        <v>259</v>
      </c>
      <c r="B10" s="30">
        <f>Kommunedata!B20</f>
        <v>1.2302068277127098</v>
      </c>
      <c r="C10" s="26"/>
      <c r="D10" s="39" t="s">
        <v>363</v>
      </c>
      <c r="E10" s="25">
        <f>Kommunedata!$B$22</f>
        <v>130595</v>
      </c>
      <c r="F10" s="36"/>
    </row>
    <row r="11" spans="1:6" ht="57.6" x14ac:dyDescent="0.3">
      <c r="A11" s="35"/>
      <c r="B11" s="26"/>
      <c r="C11" s="26"/>
      <c r="D11" s="38" t="s">
        <v>364</v>
      </c>
      <c r="E11" s="25">
        <f>Kommunedata!$B$25</f>
        <v>118</v>
      </c>
      <c r="F11" s="36"/>
    </row>
    <row r="12" spans="1:6" x14ac:dyDescent="0.3">
      <c r="A12" s="262" t="s">
        <v>382</v>
      </c>
      <c r="B12" s="263"/>
      <c r="C12" s="26"/>
      <c r="D12" s="26"/>
      <c r="E12" s="26"/>
      <c r="F12" s="36"/>
    </row>
    <row r="13" spans="1:6" ht="17.25" customHeight="1" x14ac:dyDescent="0.3">
      <c r="A13" s="38" t="s">
        <v>365</v>
      </c>
      <c r="B13" s="126">
        <f>Kommunedata!$B$23</f>
        <v>7</v>
      </c>
      <c r="C13" s="26"/>
      <c r="D13" s="26"/>
      <c r="E13" s="26"/>
      <c r="F13" s="36"/>
    </row>
    <row r="14" spans="1:6" ht="20.25" customHeight="1" x14ac:dyDescent="0.3">
      <c r="A14" s="38" t="s">
        <v>366</v>
      </c>
      <c r="B14" s="126">
        <f>Kommunedata!$B$24</f>
        <v>0</v>
      </c>
      <c r="C14" s="26"/>
      <c r="D14" s="26"/>
      <c r="E14" s="26"/>
      <c r="F14" s="36"/>
    </row>
    <row r="15" spans="1:6" s="76" customFormat="1" ht="20.25" customHeight="1" x14ac:dyDescent="0.3">
      <c r="A15" s="125"/>
      <c r="B15" s="176"/>
      <c r="C15" s="26"/>
      <c r="D15" s="26"/>
      <c r="E15" s="26"/>
      <c r="F15" s="36"/>
    </row>
    <row r="16" spans="1:6" s="76" customFormat="1" ht="20.25" customHeight="1" x14ac:dyDescent="0.8">
      <c r="A16" s="204" t="s">
        <v>404</v>
      </c>
      <c r="B16" s="33"/>
      <c r="C16" s="33"/>
      <c r="D16" s="26"/>
      <c r="E16" s="26"/>
      <c r="F16" s="36"/>
    </row>
    <row r="17" spans="1:6" s="76" customFormat="1" ht="20.25" customHeight="1" x14ac:dyDescent="0.3">
      <c r="A17" s="206" t="s">
        <v>394</v>
      </c>
      <c r="B17" s="207" t="str">
        <f>Kommunedata!A103</f>
        <v>Storfjord</v>
      </c>
      <c r="C17" s="52" t="str">
        <f>Kommunedata!A104</f>
        <v>Landet uten Oslo</v>
      </c>
      <c r="D17" s="52" t="str">
        <f>Kommunedata!A105</f>
        <v>Troms</v>
      </c>
      <c r="E17" s="52" t="str">
        <f>Kommunedata!A106</f>
        <v>Kostragruppe 06</v>
      </c>
      <c r="F17" s="36"/>
    </row>
    <row r="18" spans="1:6" s="76" customFormat="1" ht="28.5" customHeight="1" x14ac:dyDescent="0.3">
      <c r="A18" s="205" t="s">
        <v>458</v>
      </c>
      <c r="B18" s="203">
        <f>Kommunedata!B$103</f>
        <v>19.100000000000001</v>
      </c>
      <c r="C18" s="203">
        <f>Kommunedata!B$104</f>
        <v>32.5</v>
      </c>
      <c r="D18" s="203">
        <f>Kommunedata!B$105</f>
        <v>26.3</v>
      </c>
      <c r="E18" s="203">
        <f>Kommunedata!B$106</f>
        <v>18.100000000000001</v>
      </c>
      <c r="F18" s="36"/>
    </row>
    <row r="19" spans="1:6" s="76" customFormat="1" ht="12.75" customHeight="1" x14ac:dyDescent="0.3">
      <c r="A19" s="205" t="s">
        <v>459</v>
      </c>
      <c r="B19" s="203">
        <f>Kommunedata!C$103</f>
        <v>44.9</v>
      </c>
      <c r="C19" s="203">
        <f>Kommunedata!C$104</f>
        <v>33.700000000000003</v>
      </c>
      <c r="D19" s="203">
        <f>Kommunedata!C$105</f>
        <v>37.6</v>
      </c>
      <c r="E19" s="203">
        <f>Kommunedata!C$106</f>
        <v>39.200000000000003</v>
      </c>
      <c r="F19" s="36"/>
    </row>
    <row r="20" spans="1:6" s="76" customFormat="1" ht="13.5" customHeight="1" x14ac:dyDescent="0.3">
      <c r="A20" s="205" t="s">
        <v>460</v>
      </c>
      <c r="B20" s="203">
        <f>Kommunedata!D$103</f>
        <v>0.5</v>
      </c>
      <c r="C20" s="203">
        <f>Kommunedata!D$104</f>
        <v>3.2</v>
      </c>
      <c r="D20" s="203">
        <f>Kommunedata!D$105</f>
        <v>3.8</v>
      </c>
      <c r="E20" s="203">
        <f>Kommunedata!D$106</f>
        <v>4</v>
      </c>
      <c r="F20" s="36"/>
    </row>
    <row r="21" spans="1:6" s="76" customFormat="1" ht="12.75" customHeight="1" x14ac:dyDescent="0.3">
      <c r="A21" s="205" t="s">
        <v>402</v>
      </c>
      <c r="B21" s="203">
        <f>Kommunedata!E$103</f>
        <v>4.2</v>
      </c>
      <c r="C21" s="203">
        <f>Kommunedata!E$104</f>
        <v>2.9</v>
      </c>
      <c r="D21" s="203">
        <f>Kommunedata!E$105</f>
        <v>2.9</v>
      </c>
      <c r="E21" s="203">
        <f>Kommunedata!E$106</f>
        <v>5.8</v>
      </c>
      <c r="F21" s="36"/>
    </row>
    <row r="22" spans="1:6" s="76" customFormat="1" ht="14.25" customHeight="1" x14ac:dyDescent="0.3">
      <c r="A22" s="205" t="s">
        <v>461</v>
      </c>
      <c r="B22" s="203">
        <f>Kommunedata!F$103</f>
        <v>8.3000000000000007</v>
      </c>
      <c r="C22" s="203">
        <f>Kommunedata!F$104</f>
        <v>14.3</v>
      </c>
      <c r="D22" s="203">
        <f>Kommunedata!F$105</f>
        <v>13.7</v>
      </c>
      <c r="E22" s="203">
        <f>Kommunedata!F$106</f>
        <v>12.3</v>
      </c>
      <c r="F22" s="36"/>
    </row>
    <row r="23" spans="1:6" s="76" customFormat="1" ht="14.25" customHeight="1" x14ac:dyDescent="0.3">
      <c r="A23" s="205" t="s">
        <v>462</v>
      </c>
      <c r="B23" s="203">
        <f>Kommunedata!G$103</f>
        <v>20</v>
      </c>
      <c r="C23" s="203">
        <f>Kommunedata!G$104</f>
        <v>13.1</v>
      </c>
      <c r="D23" s="203">
        <f>Kommunedata!G$105</f>
        <v>15.6</v>
      </c>
      <c r="E23" s="203">
        <f>Kommunedata!G$106</f>
        <v>18.600000000000001</v>
      </c>
      <c r="F23" s="36"/>
    </row>
    <row r="24" spans="1:6" s="76" customFormat="1" ht="45" customHeight="1" x14ac:dyDescent="0.3">
      <c r="A24" s="205" t="s">
        <v>463</v>
      </c>
      <c r="B24" s="203">
        <f>Kommunedata!H$103</f>
        <v>3</v>
      </c>
      <c r="C24" s="203">
        <f>Kommunedata!H$104</f>
        <v>0</v>
      </c>
      <c r="D24" s="203">
        <f>Kommunedata!H$105</f>
        <v>0</v>
      </c>
      <c r="E24" s="203">
        <f>Kommunedata!H$106</f>
        <v>0</v>
      </c>
      <c r="F24" s="36"/>
    </row>
    <row r="25" spans="1:6" ht="16.5" customHeight="1" x14ac:dyDescent="0.6">
      <c r="A25" s="46"/>
      <c r="B25" s="44"/>
      <c r="C25" s="26"/>
      <c r="D25" s="26"/>
      <c r="E25" s="26"/>
      <c r="F25" s="36"/>
    </row>
    <row r="26" spans="1:6" ht="18" x14ac:dyDescent="0.35">
      <c r="A26" s="102" t="s">
        <v>405</v>
      </c>
      <c r="B26" s="27"/>
      <c r="C26" s="26"/>
      <c r="D26" s="26"/>
      <c r="E26" s="26"/>
      <c r="F26" s="107"/>
    </row>
    <row r="27" spans="1:6" x14ac:dyDescent="0.3">
      <c r="A27" s="124" t="s">
        <v>247</v>
      </c>
      <c r="B27" s="122" t="str">
        <f>Kommunedata!A120</f>
        <v>Storfjord</v>
      </c>
      <c r="C27" s="122" t="str">
        <f>Kommunedata!A121</f>
        <v>Landet uten Oslo</v>
      </c>
      <c r="D27" s="122" t="str">
        <f>Kommunedata!A122</f>
        <v>Troms</v>
      </c>
      <c r="E27" s="122" t="str">
        <f>Kommunedata!A123</f>
        <v>Kostragruppe 06</v>
      </c>
      <c r="F27" s="36"/>
    </row>
    <row r="28" spans="1:6" x14ac:dyDescent="0.3">
      <c r="A28" s="48" t="str">
        <f>Kommunedata!B119</f>
        <v>Administrasjon og styring</v>
      </c>
      <c r="B28" s="23">
        <f>Kommunedata!B120</f>
        <v>15.8</v>
      </c>
      <c r="C28" s="23">
        <f>Kommunedata!B121</f>
        <v>8.1999999999999993</v>
      </c>
      <c r="D28" s="23">
        <f>Kommunedata!B122</f>
        <v>8.6</v>
      </c>
      <c r="E28" s="23">
        <f>Kommunedata!B123</f>
        <v>14.6</v>
      </c>
      <c r="F28" s="36"/>
    </row>
    <row r="29" spans="1:6" x14ac:dyDescent="0.3">
      <c r="A29" s="48" t="str">
        <f>Kommunedata!C119</f>
        <v>Barnehage</v>
      </c>
      <c r="B29" s="23">
        <f>Kommunedata!C120</f>
        <v>8.9</v>
      </c>
      <c r="C29" s="23">
        <f>Kommunedata!C121</f>
        <v>14.9</v>
      </c>
      <c r="D29" s="23">
        <f>Kommunedata!C122</f>
        <v>13.7</v>
      </c>
      <c r="E29" s="23">
        <f>Kommunedata!C123</f>
        <v>8</v>
      </c>
      <c r="F29" s="36"/>
    </row>
    <row r="30" spans="1:6" x14ac:dyDescent="0.3">
      <c r="A30" s="48" t="str">
        <f>Kommunedata!D119</f>
        <v>Grunnskole</v>
      </c>
      <c r="B30" s="23">
        <f>Kommunedata!D120</f>
        <v>23.7</v>
      </c>
      <c r="C30" s="23">
        <f>Kommunedata!D121</f>
        <v>24.4</v>
      </c>
      <c r="D30" s="23">
        <f>Kommunedata!D122</f>
        <v>23.4</v>
      </c>
      <c r="E30" s="23">
        <f>Kommunedata!D123</f>
        <v>22.2</v>
      </c>
      <c r="F30" s="36"/>
    </row>
    <row r="31" spans="1:6" x14ac:dyDescent="0.3">
      <c r="A31" s="48" t="str">
        <f>Kommunedata!F119</f>
        <v>Helse og omsorg</v>
      </c>
      <c r="B31" s="23">
        <f>Kommunedata!F120</f>
        <v>38.799999999999997</v>
      </c>
      <c r="C31" s="23">
        <f>Kommunedata!F121</f>
        <v>38</v>
      </c>
      <c r="D31" s="23">
        <f>Kommunedata!F122</f>
        <v>38.700000000000003</v>
      </c>
      <c r="E31" s="23">
        <f>Kommunedata!F123</f>
        <v>43.8</v>
      </c>
      <c r="F31" s="36"/>
    </row>
    <row r="32" spans="1:6" x14ac:dyDescent="0.3">
      <c r="A32" s="48" t="str">
        <f>Kommunedata!G119</f>
        <v>Sosialtjenesten</v>
      </c>
      <c r="B32" s="23">
        <f>Kommunedata!G120</f>
        <v>1.9</v>
      </c>
      <c r="C32" s="23">
        <f>Kommunedata!G121</f>
        <v>5.0999999999999996</v>
      </c>
      <c r="D32" s="23">
        <f>Kommunedata!G122</f>
        <v>4.7</v>
      </c>
      <c r="E32" s="23">
        <f>Kommunedata!G123</f>
        <v>2.8</v>
      </c>
      <c r="F32" s="36"/>
    </row>
    <row r="33" spans="1:6" x14ac:dyDescent="0.3">
      <c r="A33" s="48" t="str">
        <f>Kommunedata!H119</f>
        <v>Barnevern</v>
      </c>
      <c r="B33" s="23">
        <f>Kommunedata!H120</f>
        <v>3.7</v>
      </c>
      <c r="C33" s="23">
        <f>Kommunedata!H121</f>
        <v>3.4</v>
      </c>
      <c r="D33" s="23">
        <f>Kommunedata!H122</f>
        <v>3.6</v>
      </c>
      <c r="E33" s="23">
        <f>Kommunedata!H123</f>
        <v>3.2</v>
      </c>
      <c r="F33" s="36"/>
    </row>
    <row r="34" spans="1:6" x14ac:dyDescent="0.3">
      <c r="A34" s="48" t="str">
        <f>Kommunedata!I119</f>
        <v>Kultur</v>
      </c>
      <c r="B34" s="23">
        <f>Kommunedata!I120</f>
        <v>3.3</v>
      </c>
      <c r="C34" s="23">
        <f>Kommunedata!I121</f>
        <v>3.8</v>
      </c>
      <c r="D34" s="23">
        <f>Kommunedata!I122</f>
        <v>3.7</v>
      </c>
      <c r="E34" s="23">
        <f>Kommunedata!I123</f>
        <v>3.9</v>
      </c>
      <c r="F34" s="36"/>
    </row>
    <row r="35" spans="1:6" x14ac:dyDescent="0.3">
      <c r="A35" s="48" t="str">
        <f>Kommunedata!J119</f>
        <v>Samferdsel</v>
      </c>
      <c r="B35" s="23">
        <f>Kommunedata!J120</f>
        <v>2.8</v>
      </c>
      <c r="C35" s="23">
        <f>Kommunedata!J121</f>
        <v>1.6</v>
      </c>
      <c r="D35" s="23">
        <f>Kommunedata!J122</f>
        <v>2.2000000000000002</v>
      </c>
      <c r="E35" s="23">
        <f>Kommunedata!J123</f>
        <v>3</v>
      </c>
      <c r="F35" s="36"/>
    </row>
    <row r="36" spans="1:6" x14ac:dyDescent="0.3">
      <c r="A36" s="48" t="str">
        <f>Kommunedata!K119</f>
        <v>Andre tjenester samlet</v>
      </c>
      <c r="B36" s="23">
        <f>Kommunedata!K120</f>
        <v>-0.6</v>
      </c>
      <c r="C36" s="220">
        <f>Kommunedata!K121</f>
        <v>3</v>
      </c>
      <c r="D36" s="220">
        <f>Kommunedata!K122</f>
        <v>3</v>
      </c>
      <c r="E36" s="23">
        <f>Kommunedata!K123</f>
        <v>1.7</v>
      </c>
      <c r="F36" s="36"/>
    </row>
    <row r="37" spans="1:6" x14ac:dyDescent="0.3">
      <c r="A37" s="35"/>
      <c r="B37" s="26"/>
      <c r="C37" s="26"/>
      <c r="D37" s="99" t="s">
        <v>264</v>
      </c>
      <c r="E37" s="98" t="s">
        <v>264</v>
      </c>
      <c r="F37" s="36"/>
    </row>
    <row r="38" spans="1:6" x14ac:dyDescent="0.3">
      <c r="A38" s="35"/>
      <c r="B38" s="26"/>
      <c r="C38" s="26"/>
      <c r="D38" s="99" t="s">
        <v>264</v>
      </c>
      <c r="E38" s="98" t="s">
        <v>264</v>
      </c>
      <c r="F38" s="36"/>
    </row>
    <row r="39" spans="1:6" x14ac:dyDescent="0.3">
      <c r="A39" s="35"/>
      <c r="B39" s="26"/>
      <c r="C39" s="26"/>
      <c r="D39" s="99" t="s">
        <v>264</v>
      </c>
      <c r="E39" s="98" t="s">
        <v>264</v>
      </c>
      <c r="F39" s="36"/>
    </row>
    <row r="40" spans="1:6" x14ac:dyDescent="0.3">
      <c r="A40" s="35"/>
      <c r="B40" s="26"/>
      <c r="C40" s="26"/>
      <c r="D40" s="100" t="s">
        <v>264</v>
      </c>
      <c r="E40" s="98" t="s">
        <v>264</v>
      </c>
      <c r="F40" s="36"/>
    </row>
    <row r="41" spans="1:6" x14ac:dyDescent="0.3">
      <c r="A41" s="35"/>
      <c r="B41" s="26"/>
      <c r="C41" s="26"/>
      <c r="D41" s="26"/>
      <c r="E41" s="26"/>
      <c r="F41" s="36"/>
    </row>
    <row r="42" spans="1:6" x14ac:dyDescent="0.3">
      <c r="A42" s="35"/>
      <c r="B42" s="26"/>
      <c r="C42" s="26"/>
      <c r="D42" s="26"/>
      <c r="E42" s="26"/>
      <c r="F42" s="36"/>
    </row>
    <row r="43" spans="1:6" x14ac:dyDescent="0.3">
      <c r="A43" s="35"/>
      <c r="B43" s="26"/>
      <c r="C43" s="26"/>
      <c r="D43" s="26"/>
      <c r="E43" s="26"/>
      <c r="F43" s="36"/>
    </row>
    <row r="44" spans="1:6" x14ac:dyDescent="0.3">
      <c r="A44" s="35"/>
      <c r="B44" s="26"/>
      <c r="C44" s="26"/>
      <c r="D44" s="26"/>
      <c r="E44" s="26"/>
      <c r="F44" s="36"/>
    </row>
    <row r="45" spans="1:6" ht="18" x14ac:dyDescent="0.35">
      <c r="A45" s="102" t="s">
        <v>390</v>
      </c>
      <c r="B45" s="26"/>
      <c r="C45" s="26"/>
      <c r="D45" s="26"/>
      <c r="E45" s="26"/>
      <c r="F45" s="36"/>
    </row>
    <row r="46" spans="1:6" x14ac:dyDescent="0.3">
      <c r="A46" s="121"/>
      <c r="B46" s="122" t="str">
        <f>Kommunedata!C31</f>
        <v>Storfjord</v>
      </c>
      <c r="C46" s="122" t="str">
        <f>Kommunedata!D31</f>
        <v>Troms</v>
      </c>
      <c r="D46" s="123" t="str">
        <f>Kommunedata!E31</f>
        <v>Landet uten Oslo</v>
      </c>
      <c r="E46" s="123" t="str">
        <f>Kommunedata!F31</f>
        <v>Kostragruppe 06</v>
      </c>
      <c r="F46" s="36"/>
    </row>
    <row r="47" spans="1:6" x14ac:dyDescent="0.3">
      <c r="A47" s="40" t="s">
        <v>119</v>
      </c>
      <c r="B47" s="34">
        <f>Kommunedata!C32</f>
        <v>48.4</v>
      </c>
      <c r="C47" s="34">
        <f>Kommunedata!D32</f>
        <v>49.2</v>
      </c>
      <c r="D47" s="34">
        <f>Kommunedata!E32</f>
        <v>49.6</v>
      </c>
      <c r="E47" s="34">
        <f>Kommunedata!F32</f>
        <v>48.3</v>
      </c>
      <c r="F47" s="36"/>
    </row>
    <row r="48" spans="1:6" x14ac:dyDescent="0.3">
      <c r="A48" s="41" t="s">
        <v>212</v>
      </c>
      <c r="B48" s="31">
        <f>Kommunedata!C33</f>
        <v>0.8</v>
      </c>
      <c r="C48" s="31">
        <f>Kommunedata!D33</f>
        <v>1.1000000000000001</v>
      </c>
      <c r="D48" s="31">
        <f>Kommunedata!E33</f>
        <v>1.1000000000000001</v>
      </c>
      <c r="E48" s="31">
        <f>Kommunedata!F33</f>
        <v>0.8</v>
      </c>
      <c r="F48" s="36"/>
    </row>
    <row r="49" spans="1:6" x14ac:dyDescent="0.3">
      <c r="A49" s="41" t="s">
        <v>205</v>
      </c>
      <c r="B49" s="31">
        <f>Kommunedata!C34</f>
        <v>4.9000000000000004</v>
      </c>
      <c r="C49" s="31">
        <f>Kommunedata!D34</f>
        <v>5.7</v>
      </c>
      <c r="D49" s="31">
        <f>Kommunedata!E34</f>
        <v>6</v>
      </c>
      <c r="E49" s="31">
        <f>Kommunedata!F34</f>
        <v>4.5999999999999996</v>
      </c>
      <c r="F49" s="36"/>
    </row>
    <row r="50" spans="1:6" x14ac:dyDescent="0.3">
      <c r="A50" s="41" t="s">
        <v>206</v>
      </c>
      <c r="B50" s="31">
        <f>Kommunedata!C35</f>
        <v>11.4</v>
      </c>
      <c r="C50" s="31">
        <f>Kommunedata!D35</f>
        <v>11.7</v>
      </c>
      <c r="D50" s="31">
        <f>Kommunedata!E35</f>
        <v>12.4</v>
      </c>
      <c r="E50" s="31">
        <f>Kommunedata!F35</f>
        <v>11.2</v>
      </c>
      <c r="F50" s="36"/>
    </row>
    <row r="51" spans="1:6" x14ac:dyDescent="0.3">
      <c r="A51" s="41" t="s">
        <v>207</v>
      </c>
      <c r="B51" s="31">
        <f>Kommunedata!C36</f>
        <v>4.0999999999999996</v>
      </c>
      <c r="C51" s="31">
        <f>Kommunedata!D36</f>
        <v>3.9</v>
      </c>
      <c r="D51" s="31">
        <f>Kommunedata!E36</f>
        <v>4</v>
      </c>
      <c r="E51" s="31">
        <f>Kommunedata!F36</f>
        <v>4</v>
      </c>
      <c r="F51" s="36"/>
    </row>
    <row r="52" spans="1:6" x14ac:dyDescent="0.3">
      <c r="A52" s="41" t="s">
        <v>208</v>
      </c>
      <c r="B52" s="31">
        <f>Kommunedata!C37</f>
        <v>7.6</v>
      </c>
      <c r="C52" s="31">
        <f>Kommunedata!D37</f>
        <v>8.8000000000000007</v>
      </c>
      <c r="D52" s="31">
        <f>Kommunedata!E37</f>
        <v>7.9</v>
      </c>
      <c r="E52" s="31">
        <f>Kommunedata!F37</f>
        <v>7.5</v>
      </c>
      <c r="F52" s="36"/>
    </row>
    <row r="53" spans="1:6" x14ac:dyDescent="0.3">
      <c r="A53" s="41" t="s">
        <v>209</v>
      </c>
      <c r="B53" s="31">
        <f>Kommunedata!C38</f>
        <v>55.1</v>
      </c>
      <c r="C53" s="31">
        <f>Kommunedata!D38</f>
        <v>54.6</v>
      </c>
      <c r="D53" s="31">
        <f>Kommunedata!E38</f>
        <v>54.2</v>
      </c>
      <c r="E53" s="31">
        <f>Kommunedata!F38</f>
        <v>51.9</v>
      </c>
      <c r="F53" s="36"/>
    </row>
    <row r="54" spans="1:6" x14ac:dyDescent="0.3">
      <c r="A54" s="41" t="s">
        <v>210</v>
      </c>
      <c r="B54" s="31">
        <f>Kommunedata!C39</f>
        <v>12.4</v>
      </c>
      <c r="C54" s="31">
        <f>Kommunedata!D39</f>
        <v>10.199999999999999</v>
      </c>
      <c r="D54" s="31">
        <f>Kommunedata!E39</f>
        <v>10.1</v>
      </c>
      <c r="E54" s="31">
        <f>Kommunedata!F39</f>
        <v>13.7</v>
      </c>
      <c r="F54" s="36"/>
    </row>
    <row r="55" spans="1:6" x14ac:dyDescent="0.3">
      <c r="A55" s="41" t="s">
        <v>211</v>
      </c>
      <c r="B55" s="31">
        <f>Kommunedata!C40</f>
        <v>3.7</v>
      </c>
      <c r="C55" s="31">
        <f>Kommunedata!D40</f>
        <v>4</v>
      </c>
      <c r="D55" s="31">
        <f>Kommunedata!E40</f>
        <v>4.4000000000000004</v>
      </c>
      <c r="E55" s="31">
        <f>Kommunedata!F40</f>
        <v>6.4</v>
      </c>
      <c r="F55" s="36"/>
    </row>
    <row r="56" spans="1:6" x14ac:dyDescent="0.3">
      <c r="A56" s="42" t="str">
        <f>Kommunedata!B42</f>
        <v>Andel enslige innbyggere 80 år og over</v>
      </c>
      <c r="B56" s="31">
        <f>Kommunedata!C42</f>
        <v>78.900000000000006</v>
      </c>
      <c r="C56" s="31">
        <f>Kommunedata!D42</f>
        <v>68</v>
      </c>
      <c r="D56" s="31">
        <f>Kommunedata!E42</f>
        <v>64.400000000000006</v>
      </c>
      <c r="E56" s="31">
        <f>Kommunedata!F42</f>
        <v>69.599999999999994</v>
      </c>
      <c r="F56" s="36"/>
    </row>
    <row r="57" spans="1:6" x14ac:dyDescent="0.3">
      <c r="A57" s="42" t="str">
        <f>Kommunedata!B43</f>
        <v>Andel innvandrerbefolkning</v>
      </c>
      <c r="B57" s="31">
        <f>Kommunedata!C43</f>
        <v>7.1</v>
      </c>
      <c r="C57" s="31">
        <f>Kommunedata!D43</f>
        <v>10.1</v>
      </c>
      <c r="D57" s="31">
        <f>Kommunedata!E43</f>
        <v>13.2</v>
      </c>
      <c r="E57" s="31">
        <f>Kommunedata!F43</f>
        <v>10.199999999999999</v>
      </c>
      <c r="F57" s="36"/>
    </row>
    <row r="58" spans="1:6" x14ac:dyDescent="0.3">
      <c r="A58" s="42" t="str">
        <f>Kommunedata!B44</f>
        <v>Andel innvandrerbefolkning 0-16 år</v>
      </c>
      <c r="B58" s="31">
        <f>Kommunedata!C44</f>
        <v>2</v>
      </c>
      <c r="C58" s="31">
        <f>Kommunedata!D44</f>
        <v>8.8000000000000007</v>
      </c>
      <c r="D58" s="31">
        <f>Kommunedata!E44</f>
        <v>13.1</v>
      </c>
      <c r="E58" s="31">
        <f>Kommunedata!F44</f>
        <v>11</v>
      </c>
      <c r="F58" s="36"/>
    </row>
    <row r="59" spans="1:6" ht="28.8" x14ac:dyDescent="0.3">
      <c r="A59" s="42" t="str">
        <f>Kommunedata!B45</f>
        <v>Gj.snittlig reisetid til kommunesenteret i min.</v>
      </c>
      <c r="B59" s="31">
        <f>Kommunedata!C45</f>
        <v>13</v>
      </c>
      <c r="C59" s="31">
        <f>Kommunedata!D45</f>
        <v>9.9</v>
      </c>
      <c r="D59" s="31">
        <f>Kommunedata!E45</f>
        <v>7.3</v>
      </c>
      <c r="E59" s="31">
        <f>Kommunedata!F45</f>
        <v>13.5</v>
      </c>
      <c r="F59" s="36"/>
    </row>
    <row r="60" spans="1:6" x14ac:dyDescent="0.3">
      <c r="A60" s="42" t="str">
        <f>Kommunedata!B46</f>
        <v>Registrerte helt arbeidsledige 15-29 år</v>
      </c>
      <c r="B60" s="31">
        <f>Kommunedata!C46</f>
        <v>3.2</v>
      </c>
      <c r="C60" s="31">
        <f>Kommunedata!D46</f>
        <v>2</v>
      </c>
      <c r="D60" s="31">
        <f>Kommunedata!E46</f>
        <v>2.2000000000000002</v>
      </c>
      <c r="E60" s="31">
        <f>Kommunedata!F46</f>
        <v>2.1</v>
      </c>
      <c r="F60" s="36"/>
    </row>
    <row r="61" spans="1:6" x14ac:dyDescent="0.3">
      <c r="A61" s="42" t="str">
        <f>Kommunedata!B47</f>
        <v>Registrerte helt arbeidsledige 30-74 år</v>
      </c>
      <c r="B61" s="31">
        <f>Kommunedata!C47</f>
        <v>0.8</v>
      </c>
      <c r="C61" s="31">
        <f>Kommunedata!D47</f>
        <v>1.2</v>
      </c>
      <c r="D61" s="31">
        <f>Kommunedata!E47</f>
        <v>1.6</v>
      </c>
      <c r="E61" s="31">
        <f>Kommunedata!F47</f>
        <v>1.5</v>
      </c>
      <c r="F61" s="36"/>
    </row>
    <row r="62" spans="1:6" x14ac:dyDescent="0.3">
      <c r="A62" s="42" t="str">
        <f>Kommunedata!B48</f>
        <v>Andel pendlere av yrkesaktive</v>
      </c>
      <c r="B62" s="31">
        <f>Kommunedata!C48</f>
        <v>27.2</v>
      </c>
      <c r="C62" s="31">
        <f>Kommunedata!D48</f>
        <v>21.3</v>
      </c>
      <c r="D62" s="31">
        <f>Kommunedata!E48</f>
        <v>29.7</v>
      </c>
      <c r="E62" s="31">
        <f>Kommunedata!F48</f>
        <v>21.6</v>
      </c>
      <c r="F62" s="36"/>
    </row>
    <row r="63" spans="1:6" x14ac:dyDescent="0.3">
      <c r="A63" s="35"/>
      <c r="B63" s="26"/>
      <c r="C63" s="26"/>
      <c r="D63" s="26"/>
      <c r="E63" s="26"/>
      <c r="F63" s="36"/>
    </row>
    <row r="64" spans="1:6" x14ac:dyDescent="0.3">
      <c r="A64" s="35"/>
      <c r="B64" s="26"/>
      <c r="C64" s="26"/>
      <c r="D64" s="26"/>
      <c r="E64" s="26"/>
      <c r="F64" s="36"/>
    </row>
    <row r="65" spans="1:6" x14ac:dyDescent="0.3">
      <c r="A65" s="35"/>
      <c r="B65" s="26"/>
      <c r="C65" s="26"/>
      <c r="D65" s="26"/>
      <c r="E65" s="26"/>
      <c r="F65" s="36"/>
    </row>
    <row r="66" spans="1:6" x14ac:dyDescent="0.3">
      <c r="A66" s="35"/>
      <c r="B66" s="26"/>
      <c r="C66" s="26"/>
      <c r="D66" s="26"/>
      <c r="E66" s="26"/>
      <c r="F66" s="36"/>
    </row>
    <row r="67" spans="1:6" x14ac:dyDescent="0.3">
      <c r="A67" s="35"/>
      <c r="B67" s="26"/>
      <c r="C67" s="26"/>
      <c r="D67" s="26"/>
      <c r="E67" s="26"/>
      <c r="F67" s="36"/>
    </row>
    <row r="68" spans="1:6" x14ac:dyDescent="0.3">
      <c r="A68" s="35"/>
      <c r="B68" s="26"/>
      <c r="C68" s="26"/>
      <c r="D68" s="26"/>
      <c r="E68" s="26"/>
      <c r="F68" s="36"/>
    </row>
    <row r="69" spans="1:6" x14ac:dyDescent="0.3">
      <c r="A69" s="35"/>
      <c r="B69" s="26"/>
      <c r="C69" s="26"/>
      <c r="D69" s="26"/>
      <c r="E69" s="26"/>
      <c r="F69" s="36"/>
    </row>
    <row r="70" spans="1:6" x14ac:dyDescent="0.3">
      <c r="A70" s="35"/>
      <c r="B70" s="26"/>
      <c r="C70" s="26"/>
      <c r="D70" s="26"/>
      <c r="E70" s="26"/>
      <c r="F70" s="36"/>
    </row>
    <row r="71" spans="1:6" x14ac:dyDescent="0.3">
      <c r="A71" s="35"/>
      <c r="B71" s="26"/>
      <c r="C71" s="26"/>
      <c r="D71" s="26"/>
      <c r="E71" s="26"/>
      <c r="F71" s="36"/>
    </row>
    <row r="72" spans="1:6" x14ac:dyDescent="0.3">
      <c r="A72" s="35"/>
      <c r="B72" s="26"/>
      <c r="C72" s="26"/>
      <c r="D72" s="26"/>
      <c r="E72" s="26"/>
      <c r="F72" s="36"/>
    </row>
    <row r="73" spans="1:6" x14ac:dyDescent="0.3">
      <c r="A73" s="35"/>
      <c r="B73" s="26"/>
      <c r="C73" s="26"/>
      <c r="D73" s="26"/>
      <c r="E73" s="26"/>
      <c r="F73" s="36"/>
    </row>
    <row r="74" spans="1:6" x14ac:dyDescent="0.3">
      <c r="A74" s="35"/>
      <c r="B74" s="26"/>
      <c r="C74" s="26"/>
      <c r="D74" s="26"/>
      <c r="E74" s="26"/>
      <c r="F74" s="36"/>
    </row>
    <row r="75" spans="1:6" x14ac:dyDescent="0.3">
      <c r="A75" s="35"/>
      <c r="B75" s="26"/>
      <c r="C75" s="26"/>
      <c r="D75" s="26"/>
      <c r="E75" s="26"/>
      <c r="F75" s="36"/>
    </row>
    <row r="76" spans="1:6" x14ac:dyDescent="0.3">
      <c r="A76" s="35"/>
      <c r="B76" s="26"/>
      <c r="C76" s="26"/>
      <c r="D76" s="26"/>
      <c r="E76" s="26"/>
      <c r="F76" s="36"/>
    </row>
    <row r="77" spans="1:6" x14ac:dyDescent="0.3">
      <c r="A77" s="35"/>
      <c r="B77" s="26"/>
      <c r="C77" s="26"/>
      <c r="D77" s="26"/>
      <c r="E77" s="26"/>
      <c r="F77" s="36"/>
    </row>
    <row r="78" spans="1:6" x14ac:dyDescent="0.3">
      <c r="A78" s="35"/>
      <c r="B78" s="26"/>
      <c r="C78" s="26"/>
      <c r="D78" s="26"/>
      <c r="E78" s="26"/>
      <c r="F78" s="36"/>
    </row>
    <row r="79" spans="1:6" x14ac:dyDescent="0.3">
      <c r="A79" s="35"/>
      <c r="B79" s="26"/>
      <c r="C79" s="26"/>
      <c r="D79" s="26"/>
      <c r="E79" s="26"/>
      <c r="F79" s="36"/>
    </row>
    <row r="80" spans="1:6" x14ac:dyDescent="0.3">
      <c r="A80" s="35"/>
      <c r="B80" s="26"/>
      <c r="C80" s="26"/>
      <c r="D80" s="26"/>
      <c r="E80" s="26"/>
      <c r="F80" s="36"/>
    </row>
    <row r="81" spans="1:6" x14ac:dyDescent="0.3">
      <c r="A81" s="35"/>
      <c r="B81" s="26"/>
      <c r="C81" s="26"/>
      <c r="D81" s="26"/>
      <c r="E81" s="26"/>
      <c r="F81" s="36"/>
    </row>
    <row r="82" spans="1:6" x14ac:dyDescent="0.3">
      <c r="A82" s="35"/>
      <c r="B82" s="26"/>
      <c r="C82" s="26"/>
      <c r="D82" s="26"/>
      <c r="E82" s="26"/>
      <c r="F82" s="36"/>
    </row>
    <row r="83" spans="1:6" x14ac:dyDescent="0.3">
      <c r="A83" s="35"/>
      <c r="B83" s="26"/>
      <c r="C83" s="26"/>
      <c r="D83" s="26"/>
      <c r="E83" s="26"/>
      <c r="F83" s="36"/>
    </row>
    <row r="84" spans="1:6" x14ac:dyDescent="0.3">
      <c r="A84" s="35"/>
      <c r="B84" s="26"/>
      <c r="C84" s="26"/>
      <c r="D84" s="26"/>
      <c r="E84" s="26"/>
      <c r="F84" s="36"/>
    </row>
    <row r="85" spans="1:6" x14ac:dyDescent="0.3">
      <c r="A85" s="35"/>
      <c r="B85" s="26"/>
      <c r="C85" s="26"/>
      <c r="D85" s="26"/>
      <c r="E85" s="26"/>
      <c r="F85" s="36"/>
    </row>
    <row r="86" spans="1:6" x14ac:dyDescent="0.3">
      <c r="A86" s="35"/>
      <c r="B86" s="26"/>
      <c r="C86" s="26"/>
      <c r="D86" s="26"/>
      <c r="E86" s="26"/>
      <c r="F86" s="36"/>
    </row>
    <row r="87" spans="1:6" x14ac:dyDescent="0.3">
      <c r="A87" s="35"/>
      <c r="B87" s="26"/>
      <c r="C87" s="26"/>
      <c r="D87" s="26"/>
      <c r="E87" s="26"/>
      <c r="F87" s="36"/>
    </row>
    <row r="88" spans="1:6" x14ac:dyDescent="0.3">
      <c r="A88" s="35"/>
      <c r="B88" s="26"/>
      <c r="C88" s="26"/>
      <c r="D88" s="26"/>
      <c r="E88" s="26"/>
      <c r="F88" s="36"/>
    </row>
    <row r="89" spans="1:6" x14ac:dyDescent="0.3">
      <c r="A89" s="35"/>
      <c r="B89" s="26"/>
      <c r="C89" s="26"/>
      <c r="D89" s="26"/>
      <c r="E89" s="26"/>
      <c r="F89" s="36"/>
    </row>
    <row r="90" spans="1:6" ht="25.2" x14ac:dyDescent="0.6">
      <c r="A90" s="47" t="s">
        <v>203</v>
      </c>
      <c r="B90" s="26"/>
      <c r="C90" s="26"/>
      <c r="D90" s="26"/>
      <c r="E90" s="26"/>
      <c r="F90" s="36"/>
    </row>
    <row r="91" spans="1:6" x14ac:dyDescent="0.3">
      <c r="A91" s="222" t="s">
        <v>391</v>
      </c>
      <c r="B91" s="26"/>
      <c r="C91" s="26"/>
      <c r="D91" s="26"/>
      <c r="E91" s="26"/>
      <c r="F91" s="36"/>
    </row>
    <row r="92" spans="1:6" x14ac:dyDescent="0.3">
      <c r="A92" s="222" t="s">
        <v>392</v>
      </c>
      <c r="B92" s="26"/>
      <c r="C92" s="26"/>
      <c r="D92" s="26"/>
      <c r="E92" s="26"/>
      <c r="F92" s="36"/>
    </row>
    <row r="93" spans="1:6" x14ac:dyDescent="0.3">
      <c r="A93" s="35"/>
      <c r="B93" s="26"/>
      <c r="C93" s="26"/>
      <c r="D93" s="26"/>
      <c r="E93" s="26"/>
      <c r="F93" s="36"/>
    </row>
    <row r="94" spans="1:6" x14ac:dyDescent="0.3">
      <c r="A94" s="35"/>
      <c r="B94" s="26"/>
      <c r="C94" s="26"/>
      <c r="D94" s="26"/>
      <c r="E94" s="26"/>
      <c r="F94" s="36"/>
    </row>
    <row r="95" spans="1:6" x14ac:dyDescent="0.3">
      <c r="A95" s="35"/>
      <c r="B95" s="26"/>
      <c r="C95" s="26"/>
      <c r="D95" s="26"/>
      <c r="E95" s="26"/>
      <c r="F95" s="36"/>
    </row>
    <row r="96" spans="1:6" x14ac:dyDescent="0.3">
      <c r="A96" s="35"/>
      <c r="B96" s="26"/>
      <c r="C96" s="26"/>
      <c r="D96" s="26"/>
      <c r="E96" s="26"/>
      <c r="F96" s="36"/>
    </row>
    <row r="97" spans="1:6" x14ac:dyDescent="0.3">
      <c r="A97" s="35"/>
      <c r="B97" s="26"/>
      <c r="C97" s="26"/>
      <c r="D97" s="26"/>
      <c r="E97" s="26"/>
      <c r="F97" s="36"/>
    </row>
    <row r="98" spans="1:6" x14ac:dyDescent="0.3">
      <c r="A98" s="35"/>
      <c r="B98" s="26"/>
      <c r="C98" s="26"/>
      <c r="D98" s="26"/>
      <c r="E98" s="26"/>
      <c r="F98" s="36"/>
    </row>
    <row r="99" spans="1:6" x14ac:dyDescent="0.3">
      <c r="A99" s="35"/>
      <c r="B99" s="26"/>
      <c r="C99" s="26"/>
      <c r="D99" s="26"/>
      <c r="E99" s="26"/>
      <c r="F99" s="36"/>
    </row>
    <row r="100" spans="1:6" x14ac:dyDescent="0.3">
      <c r="A100" s="35"/>
      <c r="B100" s="26"/>
      <c r="C100" s="26"/>
      <c r="D100" s="26"/>
      <c r="E100" s="26"/>
      <c r="F100" s="36"/>
    </row>
    <row r="101" spans="1:6" x14ac:dyDescent="0.3">
      <c r="A101" s="35"/>
      <c r="B101" s="26"/>
      <c r="C101" s="26"/>
      <c r="D101" s="26"/>
      <c r="E101" s="26"/>
      <c r="F101" s="36"/>
    </row>
    <row r="102" spans="1:6" x14ac:dyDescent="0.3">
      <c r="A102" s="35"/>
      <c r="B102" s="26"/>
      <c r="C102" s="26"/>
      <c r="D102" s="26"/>
      <c r="E102" s="26"/>
      <c r="F102" s="36"/>
    </row>
    <row r="103" spans="1:6" x14ac:dyDescent="0.3">
      <c r="A103" s="35"/>
      <c r="B103" s="26"/>
      <c r="C103" s="26"/>
      <c r="D103" s="26"/>
      <c r="E103" s="26"/>
      <c r="F103" s="36"/>
    </row>
    <row r="104" spans="1:6" x14ac:dyDescent="0.3">
      <c r="A104" s="35"/>
      <c r="B104" s="26"/>
      <c r="C104" s="26"/>
      <c r="D104" s="26"/>
      <c r="E104" s="26"/>
      <c r="F104" s="36"/>
    </row>
    <row r="105" spans="1:6" x14ac:dyDescent="0.3">
      <c r="A105" s="35"/>
      <c r="B105" s="26"/>
      <c r="C105" s="26"/>
      <c r="D105" s="26"/>
      <c r="E105" s="26"/>
      <c r="F105" s="36"/>
    </row>
    <row r="106" spans="1:6" x14ac:dyDescent="0.3">
      <c r="A106" s="35"/>
      <c r="B106" s="26"/>
      <c r="C106" s="26"/>
      <c r="D106" s="26"/>
      <c r="E106" s="26"/>
      <c r="F106" s="36"/>
    </row>
    <row r="107" spans="1:6" x14ac:dyDescent="0.3">
      <c r="A107" s="35"/>
      <c r="B107" s="26"/>
      <c r="C107" s="26"/>
      <c r="D107" s="26"/>
      <c r="E107" s="26"/>
      <c r="F107" s="36"/>
    </row>
    <row r="108" spans="1:6" x14ac:dyDescent="0.3">
      <c r="A108" s="35"/>
      <c r="B108" s="26"/>
      <c r="C108" s="26"/>
      <c r="D108" s="26"/>
      <c r="E108" s="26"/>
      <c r="F108" s="36"/>
    </row>
    <row r="109" spans="1:6" x14ac:dyDescent="0.3">
      <c r="A109" s="35"/>
      <c r="B109" s="26"/>
      <c r="C109" s="26"/>
      <c r="D109" s="26"/>
      <c r="E109" s="26"/>
      <c r="F109" s="36"/>
    </row>
    <row r="110" spans="1:6" x14ac:dyDescent="0.3">
      <c r="A110" s="35"/>
      <c r="B110" s="26"/>
      <c r="C110" s="26"/>
      <c r="D110" s="26"/>
      <c r="E110" s="26"/>
      <c r="F110" s="36"/>
    </row>
    <row r="111" spans="1:6" x14ac:dyDescent="0.3">
      <c r="A111" s="35"/>
      <c r="B111" s="26"/>
      <c r="C111" s="26"/>
      <c r="D111" s="26"/>
      <c r="E111" s="26"/>
      <c r="F111" s="36"/>
    </row>
    <row r="112" spans="1:6" x14ac:dyDescent="0.3">
      <c r="A112" s="35"/>
      <c r="B112" s="26"/>
      <c r="C112" s="26"/>
      <c r="D112" s="26"/>
      <c r="E112" s="26"/>
      <c r="F112" s="36"/>
    </row>
    <row r="113" spans="1:6" x14ac:dyDescent="0.3">
      <c r="A113" s="35"/>
      <c r="B113" s="26"/>
      <c r="C113" s="26"/>
      <c r="D113" s="26"/>
      <c r="E113" s="26"/>
      <c r="F113" s="36"/>
    </row>
    <row r="114" spans="1:6" x14ac:dyDescent="0.3">
      <c r="A114" s="35"/>
      <c r="B114" s="26"/>
      <c r="C114" s="26"/>
      <c r="D114" s="26"/>
      <c r="E114" s="26"/>
      <c r="F114" s="36"/>
    </row>
    <row r="115" spans="1:6" x14ac:dyDescent="0.3">
      <c r="A115" s="35"/>
      <c r="B115" s="26"/>
      <c r="C115" s="26"/>
      <c r="D115" s="26"/>
      <c r="E115" s="26"/>
      <c r="F115" s="36"/>
    </row>
    <row r="116" spans="1:6" x14ac:dyDescent="0.3">
      <c r="A116" s="35"/>
      <c r="B116" s="26"/>
      <c r="C116" s="26"/>
      <c r="D116" s="26"/>
      <c r="E116" s="26"/>
      <c r="F116" s="36"/>
    </row>
    <row r="117" spans="1:6" s="76" customFormat="1" x14ac:dyDescent="0.3">
      <c r="A117" s="35"/>
      <c r="B117" s="26"/>
      <c r="C117" s="26"/>
      <c r="D117" s="26"/>
      <c r="E117" s="26"/>
      <c r="F117" s="36"/>
    </row>
    <row r="118" spans="1:6" s="76" customFormat="1" x14ac:dyDescent="0.3">
      <c r="A118" s="35"/>
      <c r="B118" s="26"/>
      <c r="C118" s="26"/>
      <c r="D118" s="26"/>
      <c r="E118" s="26"/>
      <c r="F118" s="36"/>
    </row>
    <row r="119" spans="1:6" s="76" customFormat="1" x14ac:dyDescent="0.3">
      <c r="A119" s="35"/>
      <c r="B119" s="26"/>
      <c r="C119" s="26"/>
      <c r="D119" s="26"/>
      <c r="E119" s="26"/>
      <c r="F119" s="36"/>
    </row>
    <row r="120" spans="1:6" s="76" customFormat="1" x14ac:dyDescent="0.3">
      <c r="A120" s="35"/>
      <c r="B120" s="26"/>
      <c r="C120" s="26"/>
      <c r="D120" s="26"/>
      <c r="E120" s="26"/>
      <c r="F120" s="36"/>
    </row>
    <row r="121" spans="1:6" s="76" customFormat="1" x14ac:dyDescent="0.3">
      <c r="A121" s="35"/>
      <c r="B121" s="26"/>
      <c r="C121" s="26"/>
      <c r="D121" s="26"/>
      <c r="E121" s="26"/>
      <c r="F121" s="36"/>
    </row>
    <row r="122" spans="1:6" s="76" customFormat="1" x14ac:dyDescent="0.3">
      <c r="A122" s="35"/>
      <c r="B122" s="26"/>
      <c r="C122" s="26"/>
      <c r="D122" s="26"/>
      <c r="E122" s="26"/>
      <c r="F122" s="36"/>
    </row>
    <row r="123" spans="1:6" s="76" customFormat="1" x14ac:dyDescent="0.3">
      <c r="A123" s="35"/>
      <c r="B123" s="26"/>
      <c r="C123" s="26"/>
      <c r="D123" s="26"/>
      <c r="E123" s="26"/>
      <c r="F123" s="36"/>
    </row>
    <row r="124" spans="1:6" s="76" customFormat="1" x14ac:dyDescent="0.3">
      <c r="A124" s="35"/>
      <c r="B124" s="26"/>
      <c r="C124" s="26"/>
      <c r="D124" s="26"/>
      <c r="E124" s="26"/>
      <c r="F124" s="36"/>
    </row>
    <row r="125" spans="1:6" s="76" customFormat="1" x14ac:dyDescent="0.3">
      <c r="A125" s="35"/>
      <c r="B125" s="26"/>
      <c r="C125" s="26"/>
      <c r="D125" s="26"/>
      <c r="E125" s="26"/>
      <c r="F125" s="36"/>
    </row>
    <row r="126" spans="1:6" s="76" customFormat="1" x14ac:dyDescent="0.3">
      <c r="A126" s="35"/>
      <c r="B126" s="26"/>
      <c r="C126" s="26"/>
      <c r="D126" s="26"/>
      <c r="E126" s="26"/>
      <c r="F126" s="36"/>
    </row>
    <row r="127" spans="1:6" s="76" customFormat="1" x14ac:dyDescent="0.3">
      <c r="A127" s="35"/>
      <c r="B127" s="26"/>
      <c r="C127" s="26"/>
      <c r="D127" s="26"/>
      <c r="E127" s="26"/>
      <c r="F127" s="36"/>
    </row>
    <row r="128" spans="1:6" s="76" customFormat="1" x14ac:dyDescent="0.3">
      <c r="A128" s="35"/>
      <c r="B128" s="26"/>
      <c r="C128" s="26"/>
      <c r="D128" s="26"/>
      <c r="E128" s="26"/>
      <c r="F128" s="36"/>
    </row>
    <row r="129" spans="1:6" s="76" customFormat="1" x14ac:dyDescent="0.3">
      <c r="A129" s="35"/>
      <c r="B129" s="26"/>
      <c r="C129" s="26"/>
      <c r="D129" s="219"/>
      <c r="E129" s="26"/>
      <c r="F129" s="36"/>
    </row>
    <row r="130" spans="1:6" s="76" customFormat="1" ht="43.2" x14ac:dyDescent="0.3">
      <c r="A130" s="35"/>
      <c r="B130" s="26"/>
      <c r="C130" s="26"/>
      <c r="D130" s="52" t="str">
        <f>Kommunedata!B3</f>
        <v>Storfjord</v>
      </c>
      <c r="E130" s="119" t="s">
        <v>467</v>
      </c>
      <c r="F130" s="119" t="s">
        <v>468</v>
      </c>
    </row>
    <row r="131" spans="1:6" s="76" customFormat="1" x14ac:dyDescent="0.3">
      <c r="A131" s="35"/>
      <c r="B131" s="26"/>
      <c r="C131" s="26"/>
      <c r="D131" s="167">
        <v>2012</v>
      </c>
      <c r="E131" s="170">
        <f>Kommunedata!G110</f>
        <v>60.7</v>
      </c>
      <c r="F131" s="23">
        <f>Kommunedata!G77</f>
        <v>82.1</v>
      </c>
    </row>
    <row r="132" spans="1:6" s="76" customFormat="1" x14ac:dyDescent="0.3">
      <c r="A132" s="35"/>
      <c r="B132" s="26"/>
      <c r="C132" s="26"/>
      <c r="D132" s="167">
        <v>2013</v>
      </c>
      <c r="E132" s="170">
        <f>Kommunedata!H110</f>
        <v>62.1</v>
      </c>
      <c r="F132" s="23">
        <f>Kommunedata!H77</f>
        <v>82.2</v>
      </c>
    </row>
    <row r="133" spans="1:6" s="76" customFormat="1" x14ac:dyDescent="0.3">
      <c r="A133" s="35"/>
      <c r="B133" s="26"/>
      <c r="C133" s="26"/>
      <c r="D133" s="167">
        <v>2014</v>
      </c>
      <c r="E133" s="167">
        <f>Kommunedata!I110</f>
        <v>48</v>
      </c>
      <c r="F133" s="23">
        <f>Kommunedata!I77</f>
        <v>76.2</v>
      </c>
    </row>
    <row r="134" spans="1:6" s="76" customFormat="1" x14ac:dyDescent="0.3">
      <c r="A134" s="35"/>
      <c r="B134" s="26"/>
      <c r="C134" s="26"/>
      <c r="D134" s="26"/>
      <c r="E134" s="26"/>
      <c r="F134" s="36"/>
    </row>
    <row r="135" spans="1:6" s="76" customFormat="1" x14ac:dyDescent="0.3">
      <c r="A135" s="35"/>
      <c r="B135" s="26"/>
      <c r="C135" s="26"/>
      <c r="D135" s="26"/>
      <c r="E135" s="26"/>
      <c r="F135" s="36"/>
    </row>
    <row r="136" spans="1:6" s="76" customFormat="1" x14ac:dyDescent="0.3">
      <c r="A136" s="35"/>
      <c r="B136" s="26"/>
      <c r="C136" s="26"/>
      <c r="D136" s="26"/>
      <c r="E136" s="26"/>
      <c r="F136" s="36"/>
    </row>
    <row r="137" spans="1:6" s="76" customFormat="1" ht="18" x14ac:dyDescent="0.35">
      <c r="A137" s="102" t="s">
        <v>384</v>
      </c>
      <c r="B137" s="26"/>
      <c r="C137" s="26"/>
      <c r="D137" s="26"/>
      <c r="E137" s="26"/>
      <c r="F137" s="36"/>
    </row>
    <row r="138" spans="1:6" ht="59.25" customHeight="1" x14ac:dyDescent="0.35">
      <c r="A138" s="118" t="s">
        <v>228</v>
      </c>
      <c r="B138" s="119" t="str">
        <f>Kommunedata!C127</f>
        <v>Andel barn 1-5 år med barnehageplass (prosent)</v>
      </c>
      <c r="C138" s="119" t="str">
        <f>Kommunedata!D127</f>
        <v>Brutto driftsutgifter per barn i kommunal barnehage (kroner)</v>
      </c>
      <c r="D138" s="119" t="str">
        <f>Kommunedata!E127</f>
        <v>Andel ansatte med barnehagelærerutdanning (prosent)</v>
      </c>
      <c r="E138" s="119" t="str">
        <f>Kommunedata!$G$127</f>
        <v>Andel ansatte med annen pedagogisk utdanning (prosent)</v>
      </c>
      <c r="F138" s="174" t="str">
        <f>Kommunedata!$F$127</f>
        <v>Andel styrere og ped. ledere med godkjent barnehagelærerutdanning (prosent)</v>
      </c>
    </row>
    <row r="139" spans="1:6" x14ac:dyDescent="0.3">
      <c r="A139" s="48" t="str">
        <f>Kommunedata!B128</f>
        <v>Storfjord</v>
      </c>
      <c r="B139" s="167">
        <f>Kommunedata!C128</f>
        <v>92.5</v>
      </c>
      <c r="C139" s="25">
        <f>Kommunedata!D128</f>
        <v>155938</v>
      </c>
      <c r="D139" s="126">
        <f>Kommunedata!E128</f>
        <v>34.4</v>
      </c>
      <c r="E139" s="126">
        <f>Kommunedata!$G$128</f>
        <v>0</v>
      </c>
      <c r="F139" s="175">
        <f>Kommunedata!$F$128</f>
        <v>100</v>
      </c>
    </row>
    <row r="140" spans="1:6" x14ac:dyDescent="0.3">
      <c r="A140" s="48" t="str">
        <f>Kommunedata!B129</f>
        <v>Landet uten Oslo</v>
      </c>
      <c r="B140" s="167">
        <f>Kommunedata!C129</f>
        <v>90.9</v>
      </c>
      <c r="C140" s="25">
        <f>Kommunedata!D129</f>
        <v>174907</v>
      </c>
      <c r="D140" s="126">
        <f>Kommunedata!E129</f>
        <v>35</v>
      </c>
      <c r="E140" s="126">
        <f>Kommunedata!$G$129</f>
        <v>4.3</v>
      </c>
      <c r="F140" s="175">
        <f>Kommunedata!$F$129</f>
        <v>90.9</v>
      </c>
    </row>
    <row r="141" spans="1:6" x14ac:dyDescent="0.3">
      <c r="A141" s="48" t="str">
        <f>Kommunedata!B130</f>
        <v>Troms</v>
      </c>
      <c r="B141" s="167">
        <f>Kommunedata!C130</f>
        <v>93.4</v>
      </c>
      <c r="C141" s="25">
        <f>Kommunedata!D130</f>
        <v>178799</v>
      </c>
      <c r="D141" s="126">
        <f>Kommunedata!E130</f>
        <v>34.9</v>
      </c>
      <c r="E141" s="126">
        <f>Kommunedata!$G$130</f>
        <v>5.2</v>
      </c>
      <c r="F141" s="175">
        <f>Kommunedata!$F$130</f>
        <v>89.3</v>
      </c>
    </row>
    <row r="142" spans="1:6" x14ac:dyDescent="0.3">
      <c r="A142" s="48" t="str">
        <f>Kommunedata!B131</f>
        <v>Kostragruppe 06</v>
      </c>
      <c r="B142" s="167">
        <f>Kommunedata!C131</f>
        <v>88.6</v>
      </c>
      <c r="C142" s="25">
        <f>Kommunedata!D131</f>
        <v>180998</v>
      </c>
      <c r="D142" s="126">
        <f>Kommunedata!E131</f>
        <v>30</v>
      </c>
      <c r="E142" s="126">
        <f>Kommunedata!$G$131</f>
        <v>6.5</v>
      </c>
      <c r="F142" s="175">
        <f>Kommunedata!$F$131</f>
        <v>80.5</v>
      </c>
    </row>
    <row r="143" spans="1:6" x14ac:dyDescent="0.3">
      <c r="A143" s="35"/>
      <c r="B143" s="26"/>
      <c r="C143" s="26"/>
      <c r="D143" s="26"/>
      <c r="E143" s="26"/>
      <c r="F143" s="36"/>
    </row>
    <row r="144" spans="1:6" ht="51" customHeight="1" x14ac:dyDescent="0.35">
      <c r="A144" s="118" t="s">
        <v>229</v>
      </c>
      <c r="B144" s="119" t="str">
        <f>Kommunedata!C135</f>
        <v>Andel elever i grunnskolen med spesialundervisning (prosent)</v>
      </c>
      <c r="C144" s="119" t="str">
        <f>Kommunedata!D135</f>
        <v>Andel timer spes.und. av antall lærertimer totalt (prosent)</v>
      </c>
      <c r="D144" s="119" t="str">
        <f>Kommunedata!E135</f>
        <v>Brutto driftsutgifter  til grunnskolesektor, pr elev (kroner)</v>
      </c>
      <c r="E144" s="119" t="str">
        <f>Kommunedata!F135</f>
        <v>Gj.snittlig gruppestørrelse, 1.-10. årstrinn (antall elever)</v>
      </c>
      <c r="F144" s="120" t="str">
        <f>Kommunedata!H135</f>
        <v>Andel lærere over 50 år (prosent)</v>
      </c>
    </row>
    <row r="145" spans="1:6" x14ac:dyDescent="0.3">
      <c r="A145" s="48" t="str">
        <f>Kommunedata!B136</f>
        <v>Storfjord</v>
      </c>
      <c r="B145" s="30">
        <f>Kommunedata!C136</f>
        <v>9.1999999999999993</v>
      </c>
      <c r="C145" s="30">
        <f>Kommunedata!D136</f>
        <v>19.7</v>
      </c>
      <c r="D145" s="25">
        <f>Kommunedata!E136</f>
        <v>138048</v>
      </c>
      <c r="E145" s="126">
        <f>Kommunedata!F136</f>
        <v>12</v>
      </c>
      <c r="F145" s="166">
        <f>Kommunedata!H136</f>
        <v>36.700000000000003</v>
      </c>
    </row>
    <row r="146" spans="1:6" x14ac:dyDescent="0.3">
      <c r="A146" s="48" t="str">
        <f>Kommunedata!B137</f>
        <v>Landet uten Oslo</v>
      </c>
      <c r="B146" s="30">
        <f>Kommunedata!C137</f>
        <v>8.1</v>
      </c>
      <c r="C146" s="30">
        <f>Kommunedata!D137</f>
        <v>17.399999999999999</v>
      </c>
      <c r="D146" s="25">
        <f>Kommunedata!E137</f>
        <v>111825</v>
      </c>
      <c r="E146" s="126">
        <f>Kommunedata!F137</f>
        <v>13.6</v>
      </c>
      <c r="F146" s="166">
        <f>Kommunedata!H137</f>
        <v>32.700000000000003</v>
      </c>
    </row>
    <row r="147" spans="1:6" x14ac:dyDescent="0.3">
      <c r="A147" s="48" t="str">
        <f>Kommunedata!B138</f>
        <v>Troms</v>
      </c>
      <c r="B147" s="30">
        <f>Kommunedata!C138</f>
        <v>8.8000000000000007</v>
      </c>
      <c r="C147" s="30">
        <f>Kommunedata!D138</f>
        <v>21</v>
      </c>
      <c r="D147" s="25">
        <f>Kommunedata!E138</f>
        <v>121727</v>
      </c>
      <c r="E147" s="126">
        <f>Kommunedata!F138</f>
        <v>12</v>
      </c>
      <c r="F147" s="166">
        <f>Kommunedata!H138</f>
        <v>34.1</v>
      </c>
    </row>
    <row r="148" spans="1:6" x14ac:dyDescent="0.3">
      <c r="A148" s="48" t="str">
        <f>Kommunedata!B139</f>
        <v>Kostragruppe 06</v>
      </c>
      <c r="B148" s="30">
        <f>Kommunedata!C139</f>
        <v>10.4</v>
      </c>
      <c r="C148" s="30">
        <f>Kommunedata!D139</f>
        <v>18.899999999999999</v>
      </c>
      <c r="D148" s="25">
        <f>Kommunedata!E139</f>
        <v>162355</v>
      </c>
      <c r="E148" s="126">
        <f>Kommunedata!F139</f>
        <v>8.6999999999999993</v>
      </c>
      <c r="F148" s="166">
        <f>Kommunedata!H139</f>
        <v>37.5</v>
      </c>
    </row>
    <row r="149" spans="1:6" ht="8.25" customHeight="1" x14ac:dyDescent="0.3">
      <c r="A149" s="35"/>
      <c r="B149" s="26"/>
      <c r="C149" s="26"/>
      <c r="D149" s="26"/>
      <c r="E149" s="26"/>
      <c r="F149" s="36"/>
    </row>
    <row r="150" spans="1:6" ht="48" customHeight="1" x14ac:dyDescent="0.35">
      <c r="A150" s="118" t="s">
        <v>261</v>
      </c>
      <c r="B150" s="119" t="str">
        <f>Kommunedata!C143</f>
        <v xml:space="preserve">Mottakere av hjemmetjenester, pr. 1000 innb. 0-66 år (antall) </v>
      </c>
      <c r="C150" s="119" t="str">
        <f>Kommunedata!D143</f>
        <v>Mottakere av hjemmetjenester, pr. 1000 innb. 67 år og over (antall)</v>
      </c>
      <c r="D150" s="119" t="str">
        <f>Kommunedata!E143</f>
        <v>Brutto driftsutg pr. mottaker av hjemmetjenester (kroner)</v>
      </c>
      <c r="E150" s="119" t="str">
        <f>Kommunedata!F143</f>
        <v>Andel hjemmeboere med høy timeinnsats (prosent)</v>
      </c>
      <c r="F150" s="120" t="str">
        <f>Kommunedata!G143</f>
        <v>Andel beboere i bolig m/ heldøgns bemanning ift. beboere i bolig til PLO-formål (prosent)</v>
      </c>
    </row>
    <row r="151" spans="1:6" x14ac:dyDescent="0.3">
      <c r="A151" s="48" t="str">
        <f>Kommunedata!B144</f>
        <v>Storfjord</v>
      </c>
      <c r="B151" s="167">
        <f>Kommunedata!C144</f>
        <v>28</v>
      </c>
      <c r="C151" s="24">
        <f>Kommunedata!D144</f>
        <v>123.7785016286645</v>
      </c>
      <c r="D151" s="168">
        <f>Kommunedata!E144</f>
        <v>296829</v>
      </c>
      <c r="E151" s="30">
        <f>Kommunedata!F144</f>
        <v>11</v>
      </c>
      <c r="F151" s="169" t="str">
        <f>Kommunedata!G144</f>
        <v>..</v>
      </c>
    </row>
    <row r="152" spans="1:6" x14ac:dyDescent="0.3">
      <c r="A152" s="48" t="str">
        <f>Kommunedata!B145</f>
        <v>Landet uten Oslo</v>
      </c>
      <c r="B152" s="167">
        <f>Kommunedata!C145</f>
        <v>20</v>
      </c>
      <c r="C152" s="24">
        <f>Kommunedata!D145</f>
        <v>149.31479017501837</v>
      </c>
      <c r="D152" s="168">
        <f>Kommunedata!E145</f>
        <v>239788</v>
      </c>
      <c r="E152" s="30">
        <f>Kommunedata!F145</f>
        <v>6.9</v>
      </c>
      <c r="F152" s="169">
        <f>Kommunedata!G145</f>
        <v>50.5</v>
      </c>
    </row>
    <row r="153" spans="1:6" x14ac:dyDescent="0.3">
      <c r="A153" s="48" t="str">
        <f>Kommunedata!B146</f>
        <v>Troms</v>
      </c>
      <c r="B153" s="167">
        <f>Kommunedata!C146</f>
        <v>20</v>
      </c>
      <c r="C153" s="24">
        <f>Kommunedata!D146</f>
        <v>163.21878628876178</v>
      </c>
      <c r="D153" s="168">
        <f>Kommunedata!E146</f>
        <v>257132</v>
      </c>
      <c r="E153" s="30">
        <f>Kommunedata!F146</f>
        <v>8</v>
      </c>
      <c r="F153" s="169">
        <f>Kommunedata!G146</f>
        <v>59.8</v>
      </c>
    </row>
    <row r="154" spans="1:6" x14ac:dyDescent="0.3">
      <c r="A154" s="48" t="str">
        <f>Kommunedata!B147</f>
        <v>Kostragruppe 06</v>
      </c>
      <c r="B154" s="167">
        <f>Kommunedata!C147</f>
        <v>30</v>
      </c>
      <c r="C154" s="24">
        <f>Kommunedata!D147</f>
        <v>198.90015238852448</v>
      </c>
      <c r="D154" s="168">
        <f>Kommunedata!E147</f>
        <v>225929</v>
      </c>
      <c r="E154" s="30">
        <f>Kommunedata!F147</f>
        <v>6.8</v>
      </c>
      <c r="F154" s="169">
        <f>Kommunedata!G147</f>
        <v>57.7</v>
      </c>
    </row>
    <row r="155" spans="1:6" ht="7.5" customHeight="1" x14ac:dyDescent="0.3">
      <c r="A155" s="35"/>
      <c r="B155" s="26"/>
      <c r="C155" s="26"/>
      <c r="D155" s="26"/>
      <c r="E155" s="26"/>
      <c r="F155" s="36"/>
    </row>
    <row r="156" spans="1:6" ht="50.25" customHeight="1" x14ac:dyDescent="0.35">
      <c r="A156" s="118" t="s">
        <v>246</v>
      </c>
      <c r="B156" s="119" t="str">
        <f>Kommunedata!H143</f>
        <v>Plasser i institusjon i prosent av innbyggere 80 år over (prosent)</v>
      </c>
      <c r="C156" s="119" t="str">
        <f>Kommunedata!I143</f>
        <v>Andel beboere 80 år og over i institusjoner (prosent)</v>
      </c>
      <c r="D156" s="119" t="str">
        <f>Kommunedata!J143</f>
        <v>Andel plasser i skjermet enhet for personer med demens (prosent)</v>
      </c>
      <c r="E156" s="119" t="str">
        <f>Kommunedata!K143</f>
        <v>Korrigerte brutto driftsutgifter, institusjon, pr. kommunal plass (kroner)</v>
      </c>
      <c r="F156" s="108"/>
    </row>
    <row r="157" spans="1:6" x14ac:dyDescent="0.3">
      <c r="A157" s="48" t="str">
        <f>Kommunedata!B144</f>
        <v>Storfjord</v>
      </c>
      <c r="B157" s="30">
        <f>Kommunedata!H144</f>
        <v>23.9</v>
      </c>
      <c r="C157" s="30">
        <f>Kommunedata!I144</f>
        <v>19.7</v>
      </c>
      <c r="D157" s="30">
        <f>Kommunedata!J144</f>
        <v>35.299999999999997</v>
      </c>
      <c r="E157" s="24">
        <f>Kommunedata!K144</f>
        <v>886591</v>
      </c>
      <c r="F157" s="36"/>
    </row>
    <row r="158" spans="1:6" x14ac:dyDescent="0.3">
      <c r="A158" s="48" t="str">
        <f>Kommunedata!B145</f>
        <v>Landet uten Oslo</v>
      </c>
      <c r="B158" s="30">
        <f>Kommunedata!H145</f>
        <v>18.399999999999999</v>
      </c>
      <c r="C158" s="30">
        <f>Kommunedata!I145</f>
        <v>13.4</v>
      </c>
      <c r="D158" s="30">
        <f>Kommunedata!J145</f>
        <v>24.5</v>
      </c>
      <c r="E158" s="24">
        <f>Kommunedata!K145</f>
        <v>1039336</v>
      </c>
      <c r="F158" s="36"/>
    </row>
    <row r="159" spans="1:6" x14ac:dyDescent="0.3">
      <c r="A159" s="48" t="str">
        <f>Kommunedata!B146</f>
        <v>Troms</v>
      </c>
      <c r="B159" s="30">
        <f>Kommunedata!H146</f>
        <v>22</v>
      </c>
      <c r="C159" s="30">
        <f>Kommunedata!I146</f>
        <v>15.9</v>
      </c>
      <c r="D159" s="30">
        <f>Kommunedata!J146</f>
        <v>26.5</v>
      </c>
      <c r="E159" s="24">
        <f>Kommunedata!K146</f>
        <v>1057287</v>
      </c>
      <c r="F159" s="36"/>
    </row>
    <row r="160" spans="1:6" x14ac:dyDescent="0.3">
      <c r="A160" s="48" t="str">
        <f>Kommunedata!B147</f>
        <v>Kostragruppe 06</v>
      </c>
      <c r="B160" s="30">
        <f>Kommunedata!H147</f>
        <v>25.4</v>
      </c>
      <c r="C160" s="30">
        <f>Kommunedata!I147</f>
        <v>17.5</v>
      </c>
      <c r="D160" s="30">
        <f>Kommunedata!J147</f>
        <v>22.7</v>
      </c>
      <c r="E160" s="24">
        <f>Kommunedata!K147</f>
        <v>1070001</v>
      </c>
      <c r="F160" s="36"/>
    </row>
    <row r="161" spans="1:6" ht="9" customHeight="1" x14ac:dyDescent="0.3">
      <c r="A161" s="35"/>
      <c r="B161" s="26"/>
      <c r="C161" s="26"/>
      <c r="D161" s="26"/>
      <c r="E161" s="26"/>
      <c r="F161" s="36"/>
    </row>
    <row r="162" spans="1:6" ht="42.75" customHeight="1" x14ac:dyDescent="0.35">
      <c r="A162" s="118" t="s">
        <v>232</v>
      </c>
      <c r="B162" s="119" t="str">
        <f>Kommunedata!C151</f>
        <v>Andel barn med undersøkelse ift. antall innbyggere 0-17 år (prosent)</v>
      </c>
      <c r="C162" s="119" t="str">
        <f>Kommunedata!D151</f>
        <v>Andel barn med barnevernstiltak ift. innbyggere 0-17 år (prosent)</v>
      </c>
      <c r="D162" s="119" t="str">
        <f>Kommunedata!E151</f>
        <v>Brutto driftsutgifter per barn med undersøkelse/ tiltak (kroner)</v>
      </c>
      <c r="E162" s="119" t="str">
        <f>Kommunedata!F151</f>
        <v>Andel undersøkelser med beh.tid over 3 mnd.(prosent)</v>
      </c>
      <c r="F162" s="161" t="s">
        <v>388</v>
      </c>
    </row>
    <row r="163" spans="1:6" x14ac:dyDescent="0.3">
      <c r="A163" s="48" t="str">
        <f>Kommunedata!B152</f>
        <v>Storfjord</v>
      </c>
      <c r="B163" s="167">
        <f>Kommunedata!C152</f>
        <v>6.5</v>
      </c>
      <c r="C163" s="30">
        <f>Kommunedata!D152</f>
        <v>8.1</v>
      </c>
      <c r="D163" s="24">
        <f>Kommunedata!E152</f>
        <v>58838</v>
      </c>
      <c r="E163" s="170">
        <f>Kommunedata!F152</f>
        <v>29.629629629629626</v>
      </c>
      <c r="F163" s="170">
        <f>Kommunedata!G152</f>
        <v>8.1</v>
      </c>
    </row>
    <row r="164" spans="1:6" x14ac:dyDescent="0.3">
      <c r="A164" s="48" t="str">
        <f>Kommunedata!B153</f>
        <v>Landet uten Oslo</v>
      </c>
      <c r="B164" s="167">
        <f>Kommunedata!C153</f>
        <v>4.3</v>
      </c>
      <c r="C164" s="30">
        <f>Kommunedata!D153</f>
        <v>4.8</v>
      </c>
      <c r="D164" s="24">
        <f>Kommunedata!E153</f>
        <v>43806</v>
      </c>
      <c r="E164" s="170">
        <f>Kommunedata!F153</f>
        <v>17.399999999999999</v>
      </c>
      <c r="F164" s="170">
        <f>Kommunedata!G153</f>
        <v>4.0999999999999996</v>
      </c>
    </row>
    <row r="165" spans="1:6" x14ac:dyDescent="0.3">
      <c r="A165" s="48" t="str">
        <f>Kommunedata!B154</f>
        <v>Troms</v>
      </c>
      <c r="B165" s="30">
        <f>Kommunedata!C154</f>
        <v>5</v>
      </c>
      <c r="C165" s="30">
        <f>Kommunedata!D154</f>
        <v>5.8</v>
      </c>
      <c r="D165" s="24">
        <f>Kommunedata!E154</f>
        <v>46629</v>
      </c>
      <c r="E165" s="170">
        <f>Kommunedata!F154</f>
        <v>29.5</v>
      </c>
      <c r="F165" s="170">
        <f>Kommunedata!G154</f>
        <v>5.4</v>
      </c>
    </row>
    <row r="166" spans="1:6" x14ac:dyDescent="0.3">
      <c r="A166" s="48" t="str">
        <f>Kommunedata!B155</f>
        <v>Kostragruppe 06</v>
      </c>
      <c r="B166" s="30" t="str">
        <f>Kommunedata!C155</f>
        <v>:</v>
      </c>
      <c r="C166" s="30" t="str">
        <f>Kommunedata!D155</f>
        <v>:</v>
      </c>
      <c r="D166" s="24" t="str">
        <f>Kommunedata!E155</f>
        <v>:</v>
      </c>
      <c r="E166" s="170" t="str">
        <f>Kommunedata!F155</f>
        <v>:</v>
      </c>
      <c r="F166" s="170">
        <f>Kommunedata!G155</f>
        <v>6.4</v>
      </c>
    </row>
    <row r="167" spans="1:6" ht="10.5" customHeight="1" x14ac:dyDescent="0.3">
      <c r="A167" s="35"/>
      <c r="B167" s="26"/>
      <c r="C167" s="26"/>
      <c r="D167" s="26"/>
      <c r="E167" s="26"/>
      <c r="F167" s="36"/>
    </row>
    <row r="168" spans="1:6" ht="44.25" customHeight="1" x14ac:dyDescent="0.35">
      <c r="A168" s="118" t="s">
        <v>231</v>
      </c>
      <c r="B168" s="119" t="str">
        <f>Kommunedata!C159</f>
        <v>Andel sosialhjelpsmottakere ift. innbyggere 20-66 år (prosent)</v>
      </c>
      <c r="C168" s="119" t="str">
        <f>Kommunedata!D159</f>
        <v>Brutto driftsutgifter til sosialtjenesten pr. mottaker (kroner)</v>
      </c>
      <c r="D168" s="119" t="str">
        <f>Kommunedata!E159</f>
        <v>Andel sosialhjelpsmottakere med stønad i 6 mnd. eller mer (prosent)</v>
      </c>
      <c r="E168" s="119" t="str">
        <f>Kommunedata!F159</f>
        <v>Andel mottakere med sosialhjelp som hovedinntektskilde (prosent)</v>
      </c>
      <c r="F168" s="36"/>
    </row>
    <row r="169" spans="1:6" x14ac:dyDescent="0.3">
      <c r="A169" s="48" t="str">
        <f>Kommunedata!B160</f>
        <v>Storfjord</v>
      </c>
      <c r="B169" s="30">
        <f>Kommunedata!C160</f>
        <v>3.5</v>
      </c>
      <c r="C169" s="24">
        <f>Kommunedata!D160</f>
        <v>45386</v>
      </c>
      <c r="D169" s="30">
        <f>Kommunedata!E160</f>
        <v>13.636363636363635</v>
      </c>
      <c r="E169" s="30">
        <f>Kommunedata!F160</f>
        <v>43.2</v>
      </c>
      <c r="F169" s="36"/>
    </row>
    <row r="170" spans="1:6" x14ac:dyDescent="0.3">
      <c r="A170" s="48" t="str">
        <f>Kommunedata!B161</f>
        <v>Landet uten Oslo</v>
      </c>
      <c r="B170" s="30">
        <f>Kommunedata!C161</f>
        <v>3.9</v>
      </c>
      <c r="C170" s="24">
        <f>Kommunedata!D161</f>
        <v>40312</v>
      </c>
      <c r="D170" s="30">
        <f>Kommunedata!E161</f>
        <v>33.799999999999997</v>
      </c>
      <c r="E170" s="30">
        <f>Kommunedata!F161</f>
        <v>45.5</v>
      </c>
      <c r="F170" s="36"/>
    </row>
    <row r="171" spans="1:6" x14ac:dyDescent="0.3">
      <c r="A171" s="48" t="str">
        <f>Kommunedata!B162</f>
        <v>Troms</v>
      </c>
      <c r="B171" s="30">
        <f>Kommunedata!C162</f>
        <v>3.7</v>
      </c>
      <c r="C171" s="24">
        <f>Kommunedata!D162</f>
        <v>33332</v>
      </c>
      <c r="D171" s="30">
        <f>Kommunedata!E162</f>
        <v>25.9</v>
      </c>
      <c r="E171" s="30">
        <f>Kommunedata!F162</f>
        <v>47.1</v>
      </c>
      <c r="F171" s="36"/>
    </row>
    <row r="172" spans="1:6" ht="15" thickBot="1" x14ac:dyDescent="0.35">
      <c r="A172" s="50" t="str">
        <f>Kommunedata!B163</f>
        <v>Kostragruppe 06</v>
      </c>
      <c r="B172" s="171" t="str">
        <f>Kommunedata!C163</f>
        <v>:</v>
      </c>
      <c r="C172" s="172" t="str">
        <f>Kommunedata!D163</f>
        <v>:</v>
      </c>
      <c r="D172" s="173" t="str">
        <f>Kommunedata!E163</f>
        <v>:</v>
      </c>
      <c r="E172" s="171" t="str">
        <f>Kommunedata!F163</f>
        <v>:</v>
      </c>
      <c r="F172" s="43"/>
    </row>
  </sheetData>
  <mergeCells count="3">
    <mergeCell ref="D8:E8"/>
    <mergeCell ref="A1:F1"/>
    <mergeCell ref="A12:B12"/>
  </mergeCells>
  <pageMargins left="0.70866141732283472" right="0.70866141732283472" top="0.74803149606299213" bottom="0.74803149606299213" header="0.31496062992125984" footer="0.31496062992125984"/>
  <pageSetup paperSize="9" scale="66" orientation="landscape" r:id="rId1"/>
  <rowBreaks count="1" manualBreakCount="1">
    <brk id="135"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3">
    <pageSetUpPr fitToPage="1"/>
  </sheetPr>
  <dimension ref="A2:N163"/>
  <sheetViews>
    <sheetView topLeftCell="B59" workbookViewId="0">
      <selection activeCell="F72" sqref="F72"/>
    </sheetView>
  </sheetViews>
  <sheetFormatPr baseColWidth="10" defaultRowHeight="14.4" x14ac:dyDescent="0.3"/>
  <cols>
    <col min="1" max="1" width="32.6640625" customWidth="1"/>
    <col min="2" max="2" width="64.44140625" bestFit="1" customWidth="1"/>
    <col min="3" max="4" width="17.6640625" bestFit="1" customWidth="1"/>
    <col min="5" max="5" width="16.33203125" bestFit="1" customWidth="1"/>
    <col min="6" max="6" width="19.88671875" customWidth="1"/>
    <col min="7" max="8" width="11.88671875" bestFit="1" customWidth="1"/>
    <col min="9" max="9" width="37.6640625" bestFit="1" customWidth="1"/>
    <col min="10" max="10" width="21.6640625" bestFit="1" customWidth="1"/>
    <col min="11" max="11" width="10.6640625" bestFit="1" customWidth="1"/>
    <col min="12" max="12" width="22.109375" customWidth="1"/>
  </cols>
  <sheetData>
    <row r="2" spans="1:12" x14ac:dyDescent="0.3">
      <c r="A2" s="12" t="s">
        <v>101</v>
      </c>
      <c r="B2" s="12" t="s">
        <v>102</v>
      </c>
      <c r="C2" s="13"/>
    </row>
    <row r="3" spans="1:12" x14ac:dyDescent="0.3">
      <c r="A3" s="29">
        <f>Oppslag!D2</f>
        <v>1939</v>
      </c>
      <c r="B3" t="str">
        <f>VLOOKUP($A$3,Kommunegrupper!$A$1:$T$27,2)</f>
        <v>Storfjord</v>
      </c>
      <c r="E3" s="13"/>
    </row>
    <row r="4" spans="1:12" x14ac:dyDescent="0.3">
      <c r="A4" s="28" t="s">
        <v>175</v>
      </c>
      <c r="B4" t="s">
        <v>88</v>
      </c>
    </row>
    <row r="5" spans="1:12" x14ac:dyDescent="0.3">
      <c r="A5" s="8" t="s">
        <v>173</v>
      </c>
      <c r="B5" s="28" t="s">
        <v>174</v>
      </c>
    </row>
    <row r="6" spans="1:12" x14ac:dyDescent="0.3">
      <c r="A6" t="str">
        <f>VLOOKUP($A$3,Kommunegrupper!$A$1:$T$27,3)</f>
        <v>Kostragruppe 06</v>
      </c>
      <c r="B6" t="str">
        <f>A6</f>
        <v>Kostragruppe 06</v>
      </c>
    </row>
    <row r="7" spans="1:12" x14ac:dyDescent="0.3">
      <c r="B7" t="s">
        <v>264</v>
      </c>
      <c r="C7" t="s">
        <v>264</v>
      </c>
      <c r="D7" t="s">
        <v>264</v>
      </c>
    </row>
    <row r="8" spans="1:12" x14ac:dyDescent="0.3">
      <c r="A8" t="s">
        <v>105</v>
      </c>
      <c r="B8" t="str">
        <f>VLOOKUP($A$3,Kommunegrupper!$A$2:$T$27,4)</f>
        <v>Sigmund Steinnes</v>
      </c>
      <c r="C8" t="str">
        <f>VLOOKUP($A$3,Kommunegrupper!$A$2:$T$27,5)</f>
        <v>(Ap)</v>
      </c>
      <c r="D8" s="29" t="str">
        <f>VLOOKUP($A$3,Kommunegrupper!$A$2:$X$27,22)</f>
        <v>77212808/99230283</v>
      </c>
    </row>
    <row r="9" spans="1:12" x14ac:dyDescent="0.3">
      <c r="A9" t="s">
        <v>4</v>
      </c>
      <c r="B9" t="str">
        <f>VLOOKUP($A$3,Kommunegrupper!$A$2:$T$27,6)</f>
        <v xml:space="preserve">Inger Heiskel </v>
      </c>
      <c r="C9" t="str">
        <f>VLOOKUP($A$3,Kommunegrupper!$A$2:$T$27,7)</f>
        <v>(Ap)</v>
      </c>
      <c r="D9" s="29" t="str">
        <f>VLOOKUP($A$3,Kommunegrupper!$A$2:$X$27,23)</f>
        <v>77714879/97021955</v>
      </c>
    </row>
    <row r="10" spans="1:12" x14ac:dyDescent="0.3">
      <c r="A10" t="s">
        <v>5</v>
      </c>
      <c r="B10" t="str">
        <f>VLOOKUP($A$3,Kommunegrupper!$A$2:$T$27,8)</f>
        <v>Trond-Roger Larsen (konst.)</v>
      </c>
      <c r="D10" s="29" t="str">
        <f>VLOOKUP($A$3,Kommunegrupper!$A$2:$X$27,24)</f>
        <v>77212811/98289062</v>
      </c>
    </row>
    <row r="12" spans="1:12" x14ac:dyDescent="0.3">
      <c r="A12" s="6" t="s">
        <v>106</v>
      </c>
      <c r="B12" s="6"/>
    </row>
    <row r="14" spans="1:12" ht="28.8" x14ac:dyDescent="0.3">
      <c r="B14" t="str">
        <f>Kommunegrupper!J2</f>
        <v>Ap</v>
      </c>
      <c r="C14" t="str">
        <f>Kommunegrupper!K2</f>
        <v>Høyre</v>
      </c>
      <c r="D14" t="str">
        <f>Kommunegrupper!L2</f>
        <v>Frp</v>
      </c>
      <c r="E14" t="str">
        <f>Kommunegrupper!M2</f>
        <v>Sp</v>
      </c>
      <c r="F14" t="str">
        <f>Kommunegrupper!N2</f>
        <v>SV</v>
      </c>
      <c r="G14" t="str">
        <f>Kommunegrupper!O2</f>
        <v>Venstre</v>
      </c>
      <c r="H14" t="str">
        <f>Kommunegrupper!P2</f>
        <v>KrF</v>
      </c>
      <c r="I14" t="str">
        <f>Kommunegrupper!Q2</f>
        <v>Rødt</v>
      </c>
      <c r="J14" t="str">
        <f>Kommunegrupper!R2</f>
        <v>De Grønne</v>
      </c>
      <c r="K14" t="str">
        <f>Kommunegrupper!S2</f>
        <v>Kystpartiet</v>
      </c>
      <c r="L14" s="14" t="str">
        <f>Kommunegrupper!T2</f>
        <v>Andre (bygdelister/felleslister)</v>
      </c>
    </row>
    <row r="15" spans="1:12" x14ac:dyDescent="0.3">
      <c r="A15" t="str">
        <f>B3</f>
        <v>Storfjord</v>
      </c>
      <c r="B15">
        <f>VLOOKUP($A$3,Kommunegrupper!$A$3:$T$27,10,TRUE)</f>
        <v>7</v>
      </c>
      <c r="C15">
        <f>VLOOKUP($A$3,Kommunegrupper!$A$3:$T$27,11,TRUE)</f>
        <v>3</v>
      </c>
      <c r="D15">
        <f>VLOOKUP($A$3,Kommunegrupper!$A$3:$T$27,12,TRUE)</f>
        <v>2</v>
      </c>
      <c r="E15">
        <f>VLOOKUP($A$3,Kommunegrupper!$A$3:$T$27,13,TRUE)</f>
        <v>3</v>
      </c>
      <c r="F15">
        <f>VLOOKUP($A$3,Kommunegrupper!$A$3:$T$27,14,TRUE)</f>
        <v>0</v>
      </c>
      <c r="G15">
        <f>VLOOKUP($A$3,Kommunegrupper!$A$3:$T$27,15,TRUE)</f>
        <v>0</v>
      </c>
      <c r="H15">
        <f>VLOOKUP($A$3,Kommunegrupper!$A$3:$T$27,16,TRUE)</f>
        <v>0</v>
      </c>
      <c r="I15">
        <f>VLOOKUP($A$3,Kommunegrupper!$A$3:$T$27,17,TRUE)</f>
        <v>0</v>
      </c>
      <c r="J15">
        <f>VLOOKUP($A$3,Kommunegrupper!$A$3:$T$27,18,TRUE)</f>
        <v>0</v>
      </c>
      <c r="K15">
        <f>VLOOKUP($A$3,Kommunegrupper!$A$3:$T$27,19,TRUE)</f>
        <v>0</v>
      </c>
      <c r="L15">
        <f>VLOOKUP($A$3,Kommunegrupper!$A$3:$T$27,20,TRUE)</f>
        <v>2</v>
      </c>
    </row>
    <row r="18" spans="1:14" ht="16.2" x14ac:dyDescent="0.3">
      <c r="A18" t="s">
        <v>115</v>
      </c>
      <c r="B18" s="20">
        <f>VLOOKUP($A$3,'Inntekter, årsverk, areal'!$A$1:$N$25,13,FALSE)</f>
        <v>1542.83</v>
      </c>
    </row>
    <row r="19" spans="1:14" x14ac:dyDescent="0.3">
      <c r="A19" t="s">
        <v>362</v>
      </c>
      <c r="B19" s="20">
        <f>VLOOKUP($A$3,Bef.utv.!$A$7:$O$30,15,FALSE)</f>
        <v>1885</v>
      </c>
    </row>
    <row r="20" spans="1:14" x14ac:dyDescent="0.3">
      <c r="A20" t="s">
        <v>116</v>
      </c>
      <c r="B20" s="20">
        <f>VLOOKUP($A$3,'Inntekter, årsverk, areal'!$A$1:$N$25,14,FALSE)</f>
        <v>1.2302068277127098</v>
      </c>
    </row>
    <row r="21" spans="1:14" x14ac:dyDescent="0.3">
      <c r="A21" s="21" t="s">
        <v>379</v>
      </c>
      <c r="B21" s="18">
        <f>VLOOKUP($A$3,'Inntekter, årsverk, areal'!$A$1:$N$25,3,FALSE)</f>
        <v>204148</v>
      </c>
    </row>
    <row r="22" spans="1:14" x14ac:dyDescent="0.3">
      <c r="A22" s="22" t="s">
        <v>380</v>
      </c>
      <c r="B22" s="18">
        <f>VLOOKUP($A$3,'Inntekter, årsverk, areal'!$A$1:$N$25,6,FALSE)</f>
        <v>130595</v>
      </c>
    </row>
    <row r="23" spans="1:14" x14ac:dyDescent="0.3">
      <c r="A23" s="21" t="s">
        <v>337</v>
      </c>
      <c r="B23" s="18">
        <f>VLOOKUP($A$3,'Inntekter, årsverk, areal'!$A$1:$Q$25,16,FALSE)</f>
        <v>7</v>
      </c>
    </row>
    <row r="24" spans="1:14" x14ac:dyDescent="0.3">
      <c r="A24" s="21" t="s">
        <v>338</v>
      </c>
      <c r="B24" s="18">
        <f>VLOOKUP($A$3,'Inntekter, årsverk, areal'!$A$1:$Q$25,17,FALSE)</f>
        <v>0</v>
      </c>
    </row>
    <row r="25" spans="1:14" ht="57.6" x14ac:dyDescent="0.3">
      <c r="A25" s="84" t="s">
        <v>282</v>
      </c>
      <c r="B25" s="18">
        <f>VLOOKUP($A$3,'Inntekter, årsverk, areal'!$A$1:$O$25,15,FALSE)</f>
        <v>118</v>
      </c>
    </row>
    <row r="27" spans="1:14" x14ac:dyDescent="0.3">
      <c r="A27" t="s">
        <v>117</v>
      </c>
      <c r="B27" s="6">
        <f>Bef.utv.!C6</f>
        <v>2003</v>
      </c>
      <c r="C27" s="6">
        <f>Bef.utv.!D6</f>
        <v>2004</v>
      </c>
      <c r="D27" s="6">
        <f>Bef.utv.!E6</f>
        <v>2005</v>
      </c>
      <c r="E27" s="6">
        <f>Bef.utv.!F6</f>
        <v>2006</v>
      </c>
      <c r="F27" s="6">
        <f>Bef.utv.!G6</f>
        <v>2007</v>
      </c>
      <c r="G27" s="6">
        <f>Bef.utv.!H6</f>
        <v>2008</v>
      </c>
      <c r="H27" s="6">
        <f>Bef.utv.!I6</f>
        <v>2009</v>
      </c>
      <c r="I27" s="6">
        <f>Bef.utv.!J6</f>
        <v>2010</v>
      </c>
      <c r="J27" s="146">
        <f>Bef.utv.!K6</f>
        <v>2011</v>
      </c>
      <c r="K27" s="146">
        <f>Bef.utv.!L6</f>
        <v>2012</v>
      </c>
      <c r="L27" s="6">
        <f>Bef.utv.!M6</f>
        <v>2013</v>
      </c>
      <c r="M27" s="6">
        <f>Bef.utv.!N6</f>
        <v>2014</v>
      </c>
      <c r="N27" s="6" t="str">
        <f>Bef.utv.!O6</f>
        <v>2015 (2 kv.)</v>
      </c>
    </row>
    <row r="28" spans="1:14" x14ac:dyDescent="0.3">
      <c r="B28" t="s">
        <v>264</v>
      </c>
      <c r="C28">
        <f>VLOOKUP($A$3,Bef.utv.!$A$6:$N$30,4,FALSE)</f>
        <v>1934</v>
      </c>
      <c r="D28">
        <f>VLOOKUP($A$3,Bef.utv.!$A$6:$N$30,5,FALSE)</f>
        <v>1932</v>
      </c>
      <c r="E28">
        <f>VLOOKUP($A$3,Bef.utv.!$A$6:$N$30,6,FALSE)</f>
        <v>1911</v>
      </c>
      <c r="F28">
        <f>VLOOKUP($A$3,Bef.utv.!$A$6:$N$30,7,FALSE)</f>
        <v>1893</v>
      </c>
      <c r="G28">
        <f>VLOOKUP($A$3,Bef.utv.!$A$6:$N$30,8,FALSE)</f>
        <v>1869</v>
      </c>
      <c r="H28">
        <f>VLOOKUP($A$3,Bef.utv.!$A$6:$N$30,9,FALSE)</f>
        <v>1888</v>
      </c>
      <c r="I28">
        <f>VLOOKUP($A$3,Bef.utv.!$A$6:$N$30,10,FALSE)</f>
        <v>1894</v>
      </c>
      <c r="J28">
        <f>VLOOKUP($A$3,Bef.utv.!$A$6:$N$30,11,FALSE)</f>
        <v>1909</v>
      </c>
      <c r="K28">
        <f>VLOOKUP($A$3,Bef.utv.!$A$6:$N$30,12,FALSE)</f>
        <v>1942</v>
      </c>
      <c r="L28">
        <f>VLOOKUP($A$3,Bef.utv.!$A$6:$N$30,13,FALSE)</f>
        <v>1941</v>
      </c>
      <c r="M28" s="76">
        <f>VLOOKUP($A$3,Bef.utv.!$A$6:$N$30,14,FALSE)</f>
        <v>1898</v>
      </c>
      <c r="N28" s="76">
        <f>VLOOKUP($A$3,Bef.utv.!$A$6:$O$30,15,FALSE)</f>
        <v>1885</v>
      </c>
    </row>
    <row r="31" spans="1:14" x14ac:dyDescent="0.3">
      <c r="C31" s="6" t="str">
        <f>B3</f>
        <v>Storfjord</v>
      </c>
      <c r="D31" s="6" t="str">
        <f>B4</f>
        <v>Troms</v>
      </c>
      <c r="E31" s="6" t="str">
        <f>B5</f>
        <v>Landet uten Oslo</v>
      </c>
      <c r="F31" s="6" t="str">
        <f>B6</f>
        <v>Kostragruppe 06</v>
      </c>
      <c r="I31" s="6" t="s">
        <v>268</v>
      </c>
      <c r="J31" t="e">
        <f>VLOOKUP($A$3,Bef.utv.!#REF!,3)</f>
        <v>#REF!</v>
      </c>
    </row>
    <row r="32" spans="1:14" x14ac:dyDescent="0.3">
      <c r="B32" t="s">
        <v>119</v>
      </c>
      <c r="C32" s="19">
        <f>VLOOKUP($A$3,Behov!$A$6:$AG$39,4,FALSE)</f>
        <v>48.4</v>
      </c>
      <c r="D32" s="19">
        <f>VLOOKUP($A$4,Behov!$A$6:$AG$39,4,FALSE)</f>
        <v>49.2</v>
      </c>
      <c r="E32" s="19">
        <f>VLOOKUP($A$5,Behov!$A$6:$AG$39,4,FALSE)</f>
        <v>49.6</v>
      </c>
      <c r="F32" s="19">
        <f>VLOOKUP($A$6,Behov!$A$6:$AG$40,4,FALSE)</f>
        <v>48.3</v>
      </c>
      <c r="I32" s="10" t="s">
        <v>220</v>
      </c>
      <c r="J32" t="e">
        <f>VLOOKUP($A$3,Bef.utv.!#REF!,4)</f>
        <v>#REF!</v>
      </c>
    </row>
    <row r="33" spans="2:10" x14ac:dyDescent="0.3">
      <c r="B33" s="7" t="s">
        <v>121</v>
      </c>
      <c r="C33" s="19">
        <f>VLOOKUP($A$3,Behov!$A$6:$AG$39,6,FALSE)</f>
        <v>0.8</v>
      </c>
      <c r="D33" s="19">
        <f>VLOOKUP($A$4,Behov!$A$6:$AG$39,6,FALSE)</f>
        <v>1.1000000000000001</v>
      </c>
      <c r="E33" s="19">
        <f>VLOOKUP($A$5,Behov!$A$6:$AG$39,6,FALSE)</f>
        <v>1.1000000000000001</v>
      </c>
      <c r="F33" s="19">
        <f>VLOOKUP($A$6,Behov!$A$6:$AG$40,6,FALSE)</f>
        <v>0.8</v>
      </c>
      <c r="I33" s="10" t="s">
        <v>216</v>
      </c>
      <c r="J33" t="e">
        <f>VLOOKUP($A$3,Bef.utv.!#REF!,5)</f>
        <v>#REF!</v>
      </c>
    </row>
    <row r="34" spans="2:10" x14ac:dyDescent="0.3">
      <c r="B34" s="7" t="s">
        <v>122</v>
      </c>
      <c r="C34" s="19">
        <f>VLOOKUP($A$3,Behov!$A$6:$AG$39,7,FALSE)</f>
        <v>4.9000000000000004</v>
      </c>
      <c r="D34" s="19">
        <f>VLOOKUP($A$4,Behov!$A$6:$AG$39,7,FALSE)</f>
        <v>5.7</v>
      </c>
      <c r="E34" s="19">
        <f>VLOOKUP($A$5,Behov!$A$6:$AG$39,7,FALSE)</f>
        <v>6</v>
      </c>
      <c r="F34" s="19">
        <f>VLOOKUP($A$6,Behov!$A$6:$AG$40,7,FALSE)</f>
        <v>4.5999999999999996</v>
      </c>
      <c r="I34" s="10" t="s">
        <v>221</v>
      </c>
      <c r="J34" t="e">
        <f>VLOOKUP($A$3,Bef.utv.!#REF!,6)</f>
        <v>#REF!</v>
      </c>
    </row>
    <row r="35" spans="2:10" x14ac:dyDescent="0.3">
      <c r="B35" s="7" t="s">
        <v>123</v>
      </c>
      <c r="C35" s="19">
        <f>VLOOKUP($A$3,Behov!$A$6:$AG$39,8,FALSE)</f>
        <v>11.4</v>
      </c>
      <c r="D35" s="19">
        <f>VLOOKUP($A$4,Behov!$A$6:$AG$39,8,FALSE)</f>
        <v>11.7</v>
      </c>
      <c r="E35" s="19">
        <f>VLOOKUP($A$5,Behov!$A$6:$AG$39,8,FALSE)</f>
        <v>12.4</v>
      </c>
      <c r="F35" s="19">
        <f>VLOOKUP($A$6,Behov!$A$6:$AG$40,8,FALSE)</f>
        <v>11.2</v>
      </c>
      <c r="I35" s="10" t="s">
        <v>217</v>
      </c>
      <c r="J35" t="e">
        <f>VLOOKUP($A$3,Bef.utv.!#REF!,7)</f>
        <v>#REF!</v>
      </c>
    </row>
    <row r="36" spans="2:10" x14ac:dyDescent="0.3">
      <c r="B36" s="7" t="s">
        <v>124</v>
      </c>
      <c r="C36" s="19">
        <f>VLOOKUP($A$3,Behov!$A$6:$AG$39,9,FALSE)</f>
        <v>4.0999999999999996</v>
      </c>
      <c r="D36" s="19">
        <f>VLOOKUP($A$4,Behov!$A$6:$AG$39,9,FALSE)</f>
        <v>3.9</v>
      </c>
      <c r="E36" s="19">
        <f>VLOOKUP($A$5,Behov!$A$6:$AG$39,9,FALSE)</f>
        <v>4</v>
      </c>
      <c r="F36" s="19">
        <f>VLOOKUP($A$6,Behov!$A$6:$AG$40,9,FALSE)</f>
        <v>4</v>
      </c>
      <c r="I36" s="10" t="s">
        <v>218</v>
      </c>
      <c r="J36" t="e">
        <f>VLOOKUP($A$3,Bef.utv.!#REF!,8)</f>
        <v>#REF!</v>
      </c>
    </row>
    <row r="37" spans="2:10" x14ac:dyDescent="0.3">
      <c r="B37" s="7" t="s">
        <v>125</v>
      </c>
      <c r="C37" s="19">
        <f>VLOOKUP($A$3,Behov!$A$6:$AG$39,10,FALSE)</f>
        <v>7.6</v>
      </c>
      <c r="D37" s="19">
        <f>VLOOKUP($A$4,Behov!$A$6:$AG$39,10,FALSE)</f>
        <v>8.8000000000000007</v>
      </c>
      <c r="E37" s="19">
        <f>VLOOKUP($A$5,Behov!$A$6:$AG$39,10,FALSE)</f>
        <v>7.9</v>
      </c>
      <c r="F37" s="19">
        <f>VLOOKUP($A$6,Behov!$A$6:$AG$40,10,FALSE)</f>
        <v>7.5</v>
      </c>
      <c r="I37" s="10" t="s">
        <v>222</v>
      </c>
      <c r="J37" t="e">
        <f>VLOOKUP($A$3,Bef.utv.!#REF!,9)</f>
        <v>#REF!</v>
      </c>
    </row>
    <row r="38" spans="2:10" x14ac:dyDescent="0.3">
      <c r="B38" s="7" t="s">
        <v>126</v>
      </c>
      <c r="C38" s="19">
        <f>VLOOKUP($A$3,Behov!$A$6:$AG$39,11,FALSE)</f>
        <v>55.1</v>
      </c>
      <c r="D38" s="19">
        <f>VLOOKUP($A$4,Behov!$A$6:$AG$39,11,FALSE)</f>
        <v>54.6</v>
      </c>
      <c r="E38" s="19">
        <f>VLOOKUP($A$5,Behov!$A$6:$AG$39,11,FALSE)</f>
        <v>54.2</v>
      </c>
      <c r="F38" s="19">
        <f>VLOOKUP($A$6,Behov!$A$6:$AG$40,11,FALSE)</f>
        <v>51.9</v>
      </c>
      <c r="I38" s="10" t="s">
        <v>223</v>
      </c>
      <c r="J38" t="e">
        <f>VLOOKUP($A$3,Bef.utv.!#REF!,10)</f>
        <v>#REF!</v>
      </c>
    </row>
    <row r="39" spans="2:10" x14ac:dyDescent="0.3">
      <c r="B39" s="7" t="s">
        <v>127</v>
      </c>
      <c r="C39" s="19">
        <f>VLOOKUP($A$3,Behov!$A$6:$AG$39,12,FALSE)</f>
        <v>12.4</v>
      </c>
      <c r="D39" s="19">
        <f>VLOOKUP($A$4,Behov!$A$6:$AG$39,12,FALSE)</f>
        <v>10.199999999999999</v>
      </c>
      <c r="E39" s="19">
        <f>VLOOKUP($A$5,Behov!$A$6:$AG$39,12,FALSE)</f>
        <v>10.1</v>
      </c>
      <c r="F39" s="19">
        <f>VLOOKUP($A$6,Behov!$A$6:$AG$40,12,FALSE)</f>
        <v>13.7</v>
      </c>
      <c r="I39" s="10" t="s">
        <v>219</v>
      </c>
      <c r="J39" t="e">
        <f>VLOOKUP($A$3,Bef.utv.!#REF!,11)</f>
        <v>#REF!</v>
      </c>
    </row>
    <row r="40" spans="2:10" x14ac:dyDescent="0.3">
      <c r="B40" s="7" t="s">
        <v>128</v>
      </c>
      <c r="C40" s="19">
        <f>VLOOKUP($A$3,Behov!$A$6:$AG$39,13,FALSE)</f>
        <v>3.7</v>
      </c>
      <c r="D40" s="19">
        <f>VLOOKUP($A$4,Behov!$A$6:$AG$39,13,FALSE)</f>
        <v>4</v>
      </c>
      <c r="E40" s="19">
        <f>VLOOKUP($A$5,Behov!$A$6:$AG$39,13,FALSE)</f>
        <v>4.4000000000000004</v>
      </c>
      <c r="F40" s="19">
        <f>VLOOKUP($A$6,Behov!$A$6:$AG$40,13,FALSE)</f>
        <v>6.4</v>
      </c>
      <c r="I40" s="10" t="s">
        <v>224</v>
      </c>
      <c r="J40" t="e">
        <f>VLOOKUP($A$3,Bef.utv.!#REF!,12)</f>
        <v>#REF!</v>
      </c>
    </row>
    <row r="41" spans="2:10" x14ac:dyDescent="0.3">
      <c r="B41" s="110"/>
      <c r="C41" s="32" t="str">
        <f>B3</f>
        <v>Storfjord</v>
      </c>
      <c r="D41" s="32" t="str">
        <f>B4</f>
        <v>Troms</v>
      </c>
      <c r="E41" s="32" t="str">
        <f>B5</f>
        <v>Landet uten Oslo</v>
      </c>
      <c r="F41" s="32" t="str">
        <f>B6</f>
        <v>Kostragruppe 06</v>
      </c>
      <c r="I41" s="10" t="s">
        <v>267</v>
      </c>
      <c r="J41" t="e">
        <f>VLOOKUP($A$3,Bef.utv.!#REF!,13)</f>
        <v>#REF!</v>
      </c>
    </row>
    <row r="42" spans="2:10" x14ac:dyDescent="0.3">
      <c r="B42" s="7" t="s">
        <v>132</v>
      </c>
      <c r="C42" s="19">
        <f>VLOOKUP($A$3,Behov!$A$6:$AG$39,17,FALSE)</f>
        <v>78.900000000000006</v>
      </c>
      <c r="D42" s="19">
        <f>VLOOKUP($A$4,Behov!$A$6:$AG$39,17,FALSE)</f>
        <v>68</v>
      </c>
      <c r="E42" s="19">
        <f>VLOOKUP($A$5,Behov!$A$6:$AG$39,17,FALSE)</f>
        <v>64.400000000000006</v>
      </c>
      <c r="F42" s="19">
        <f>VLOOKUP($A$6,Behov!$A$6:$AG$40,17,FALSE)</f>
        <v>69.599999999999994</v>
      </c>
    </row>
    <row r="43" spans="2:10" x14ac:dyDescent="0.3">
      <c r="B43" s="7" t="s">
        <v>140</v>
      </c>
      <c r="C43" s="19">
        <f>VLOOKUP($A$3,Behov!$A$6:$AG$39,25,FALSE)</f>
        <v>7.1</v>
      </c>
      <c r="D43" s="19">
        <f>VLOOKUP($A$4,Behov!$A$6:$AG$39,25,FALSE)</f>
        <v>10.1</v>
      </c>
      <c r="E43" s="19">
        <f>VLOOKUP($A$5,Behov!$A$6:$AG$39,25,FALSE)</f>
        <v>13.2</v>
      </c>
      <c r="F43" s="19">
        <f>VLOOKUP($A$6,Behov!$A$6:$AG$40,25,FALSE)</f>
        <v>10.199999999999999</v>
      </c>
    </row>
    <row r="44" spans="2:10" x14ac:dyDescent="0.3">
      <c r="B44" s="7" t="s">
        <v>143</v>
      </c>
      <c r="C44" s="19">
        <f>VLOOKUP($A$3,Behov!$A$6:$AG$39,28,FALSE)</f>
        <v>2</v>
      </c>
      <c r="D44" s="19">
        <f>VLOOKUP($A$4,Behov!$A$6:$AG$39,28,FALSE)</f>
        <v>8.8000000000000007</v>
      </c>
      <c r="E44" s="19">
        <f>VLOOKUP($A$5,Behov!$A$6:$AG$39,28,FALSE)</f>
        <v>13.1</v>
      </c>
      <c r="F44" s="19">
        <f>VLOOKUP($A$6,Behov!$A$6:$AG$40,28,FALSE)</f>
        <v>11</v>
      </c>
    </row>
    <row r="45" spans="2:10" x14ac:dyDescent="0.3">
      <c r="B45" s="8" t="s">
        <v>226</v>
      </c>
      <c r="C45" s="19">
        <f>VLOOKUP($A$3,Behov!$A$6:$AG$39,30,FALSE)</f>
        <v>13</v>
      </c>
      <c r="D45" s="19">
        <f>VLOOKUP($A$4,Behov!$A$6:$AG$39,30,FALSE)</f>
        <v>9.9</v>
      </c>
      <c r="E45" s="19">
        <f>VLOOKUP($A$5,Behov!$A$6:$AG$39,30,FALSE)</f>
        <v>7.3</v>
      </c>
      <c r="F45" s="19">
        <f>VLOOKUP($A$6,Behov!$A$6:$AG$40,30,FALSE)</f>
        <v>13.5</v>
      </c>
    </row>
    <row r="46" spans="2:10" x14ac:dyDescent="0.3">
      <c r="B46" s="8" t="s">
        <v>369</v>
      </c>
      <c r="C46" s="19">
        <f>VLOOKUP($A$3,Behov!$A$6:$AG$39,31,FALSE)</f>
        <v>3.2</v>
      </c>
      <c r="D46" s="19">
        <f>VLOOKUP($A$4,Behov!$A$6:$AG$39,31,FALSE)</f>
        <v>2</v>
      </c>
      <c r="E46" s="19">
        <f>VLOOKUP($A$5,Behov!$A$6:$AG$39,31,FALSE)</f>
        <v>2.2000000000000002</v>
      </c>
      <c r="F46" s="19">
        <f>VLOOKUP($A$6,Behov!$A$6:$AG$40,31,FALSE)</f>
        <v>2.1</v>
      </c>
    </row>
    <row r="47" spans="2:10" x14ac:dyDescent="0.3">
      <c r="B47" s="8" t="s">
        <v>370</v>
      </c>
      <c r="C47" s="19">
        <f>VLOOKUP($A$3,Behov!$A$6:$AG$39,32,FALSE)</f>
        <v>0.8</v>
      </c>
      <c r="D47" s="19">
        <f>VLOOKUP($A$4,Behov!$A$6:$AG$39,32,FALSE)</f>
        <v>1.2</v>
      </c>
      <c r="E47" s="19">
        <f>VLOOKUP($A$5,Behov!$A$6:$AG$39,32,FALSE)</f>
        <v>1.6</v>
      </c>
      <c r="F47" s="19">
        <f>VLOOKUP($A$6,Behov!$A$6:$AG$40,32,FALSE)</f>
        <v>1.5</v>
      </c>
    </row>
    <row r="48" spans="2:10" x14ac:dyDescent="0.3">
      <c r="B48" s="8" t="s">
        <v>225</v>
      </c>
      <c r="C48" s="19">
        <f>VLOOKUP($A$3,Behov!$A$6:$AG$39,33,FALSE)</f>
        <v>27.2</v>
      </c>
      <c r="D48" s="19">
        <f>VLOOKUP($A$4,Behov!$A$6:$AG$39,33,FALSE)</f>
        <v>21.3</v>
      </c>
      <c r="E48" s="19">
        <f>VLOOKUP($A$5,Behov!$A$6:$AG$39,33,FALSE)</f>
        <v>29.7</v>
      </c>
      <c r="F48" s="19">
        <f>VLOOKUP($A$6,Behov!$A$6:$AG$40,33,FALSE)</f>
        <v>21.6</v>
      </c>
    </row>
    <row r="49" spans="2:9" x14ac:dyDescent="0.3">
      <c r="B49" s="7"/>
    </row>
    <row r="50" spans="2:9" x14ac:dyDescent="0.3">
      <c r="B50" s="7"/>
    </row>
    <row r="51" spans="2:9" x14ac:dyDescent="0.3">
      <c r="B51" s="7"/>
    </row>
    <row r="52" spans="2:9" x14ac:dyDescent="0.3">
      <c r="B52" s="7"/>
    </row>
    <row r="54" spans="2:9" x14ac:dyDescent="0.3">
      <c r="B54" s="10" t="s">
        <v>193</v>
      </c>
    </row>
    <row r="55" spans="2:9" x14ac:dyDescent="0.3">
      <c r="C55" s="101">
        <v>1990</v>
      </c>
      <c r="D55" s="101">
        <v>2000</v>
      </c>
      <c r="E55" s="10">
        <v>2015</v>
      </c>
      <c r="F55" s="10" t="s">
        <v>184</v>
      </c>
      <c r="G55" s="10" t="s">
        <v>185</v>
      </c>
      <c r="H55" s="10" t="s">
        <v>186</v>
      </c>
    </row>
    <row r="56" spans="2:9" x14ac:dyDescent="0.3">
      <c r="B56" s="7" t="s">
        <v>188</v>
      </c>
      <c r="C56" s="76">
        <f>VLOOKUP($A$3,Bef.prognose!$A$5:$I$28,4,FALSE)</f>
        <v>123</v>
      </c>
      <c r="D56" s="76">
        <f>VLOOKUP($A$3,Bef.prognose!$A$5:$I$28,5,FALSE)</f>
        <v>145</v>
      </c>
      <c r="E56">
        <f>VLOOKUP($A$3,Bef.prognose!$A$5:$I$28,6,FALSE)</f>
        <v>117</v>
      </c>
      <c r="F56" s="76">
        <f>VLOOKUP($A$3,Bef.prognose!$A$5:$I$28,7,FALSE)</f>
        <v>118</v>
      </c>
      <c r="G56" s="76">
        <f>VLOOKUP($A$3,Bef.prognose!$A$5:$I$28,8,FALSE)</f>
        <v>117</v>
      </c>
      <c r="H56" s="76">
        <f>VLOOKUP($A$3,Bef.prognose!$A$5:$I$28,9,FALSE)</f>
        <v>119</v>
      </c>
    </row>
    <row r="57" spans="2:9" x14ac:dyDescent="0.3">
      <c r="B57" s="7" t="s">
        <v>189</v>
      </c>
      <c r="C57" s="76">
        <f>VLOOKUP($A$3,Bef.prognose!$A$29:$I$52,4,FALSE)</f>
        <v>284</v>
      </c>
      <c r="D57" s="76">
        <f>VLOOKUP($A$3,Bef.prognose!$A$29:$I$52,5,FALSE)</f>
        <v>217</v>
      </c>
      <c r="E57">
        <f>VLOOKUP($A$3,Bef.prognose!$A$29:$I$52,6,FALSE)</f>
        <v>230</v>
      </c>
      <c r="F57" s="76">
        <f>VLOOKUP($A$3,Bef.prognose!$A$29:$I$52,7,FALSE)</f>
        <v>229</v>
      </c>
      <c r="G57" s="76">
        <f>VLOOKUP($A$3,Bef.prognose!$A$29:$I$52,8,FALSE)</f>
        <v>232</v>
      </c>
      <c r="H57" s="76">
        <f>VLOOKUP($A$3,Bef.prognose!$A$29:$I$52,9,FALSE)</f>
        <v>234</v>
      </c>
    </row>
    <row r="58" spans="2:9" x14ac:dyDescent="0.3">
      <c r="B58" s="7" t="s">
        <v>190</v>
      </c>
      <c r="C58" s="76">
        <f>VLOOKUP($A$3,Bef.prognose!$A$53:$I$76,4,FALSE)</f>
        <v>1189</v>
      </c>
      <c r="D58" s="76">
        <f>VLOOKUP($A$3,Bef.prognose!$A$53:$I$76,5,FALSE)</f>
        <v>1270</v>
      </c>
      <c r="E58">
        <f>VLOOKUP($A$3,Bef.prognose!$A$53:$I$76,6,FALSE)</f>
        <v>1295</v>
      </c>
      <c r="F58" s="76">
        <f>VLOOKUP($A$3,Bef.prognose!$A$53:$I$76,7,FALSE)</f>
        <v>1290</v>
      </c>
      <c r="G58" s="76">
        <f>VLOOKUP($A$3,Bef.prognose!$A$53:$I$76,8,FALSE)</f>
        <v>1285</v>
      </c>
      <c r="H58" s="76">
        <f>VLOOKUP($A$3,Bef.prognose!$A$53:$I$76,9,FALSE)</f>
        <v>1324</v>
      </c>
    </row>
    <row r="59" spans="2:9" x14ac:dyDescent="0.3">
      <c r="B59" s="7" t="s">
        <v>191</v>
      </c>
      <c r="C59" s="76">
        <f>VLOOKUP($A$3,Bef.prognose!$A$77:$I$100,4,FALSE)</f>
        <v>240</v>
      </c>
      <c r="D59" s="76">
        <f>VLOOKUP($A$3,Bef.prognose!$A$77:$I$100,5,FALSE)</f>
        <v>240</v>
      </c>
      <c r="E59">
        <f>VLOOKUP($A$3,Bef.prognose!$A$77:$I$100,6,FALSE)</f>
        <v>325</v>
      </c>
      <c r="F59" s="76">
        <f>VLOOKUP($A$3,Bef.prognose!$A$77:$I$100,7,FALSE)</f>
        <v>417</v>
      </c>
      <c r="G59" s="76">
        <f>VLOOKUP($A$3,Bef.prognose!$A$77:$I$100,8,FALSE)</f>
        <v>538</v>
      </c>
      <c r="H59" s="76">
        <f>VLOOKUP($A$3,Bef.prognose!$A$77:$I$100,9,FALSE)</f>
        <v>583</v>
      </c>
    </row>
    <row r="60" spans="2:9" x14ac:dyDescent="0.3">
      <c r="B60" s="10" t="s">
        <v>339</v>
      </c>
      <c r="C60" s="6">
        <f>SUM(C56:C59)</f>
        <v>1836</v>
      </c>
      <c r="D60" s="6">
        <f>SUM(D56:D59)</f>
        <v>1872</v>
      </c>
      <c r="E60" s="6">
        <f>SUM(E56:E59)</f>
        <v>1967</v>
      </c>
      <c r="F60" s="6">
        <f t="shared" ref="F60:G60" si="0">SUM(F56:F59)</f>
        <v>2054</v>
      </c>
      <c r="G60" s="6">
        <f t="shared" si="0"/>
        <v>2172</v>
      </c>
      <c r="H60" s="6">
        <f>SUM(H56:H59)</f>
        <v>2260</v>
      </c>
      <c r="I60" s="6"/>
    </row>
    <row r="65" spans="2:9" x14ac:dyDescent="0.3">
      <c r="B65" s="6" t="s">
        <v>203</v>
      </c>
    </row>
    <row r="67" spans="2:9" x14ac:dyDescent="0.3">
      <c r="B67" s="10" t="s">
        <v>201</v>
      </c>
    </row>
    <row r="68" spans="2:9" x14ac:dyDescent="0.3">
      <c r="C68" s="10" t="s">
        <v>194</v>
      </c>
      <c r="D68" s="10" t="s">
        <v>195</v>
      </c>
      <c r="E68" s="10" t="s">
        <v>196</v>
      </c>
      <c r="F68" s="10" t="s">
        <v>109</v>
      </c>
      <c r="G68" s="6">
        <v>2012</v>
      </c>
      <c r="H68" s="6">
        <v>2013</v>
      </c>
      <c r="I68" s="6">
        <v>2014</v>
      </c>
    </row>
    <row r="69" spans="2:9" x14ac:dyDescent="0.3">
      <c r="B69" t="str">
        <f>B3</f>
        <v>Storfjord</v>
      </c>
      <c r="C69" s="19">
        <f>VLOOKUP($A$3,'Øk. nøkkeltall'!$A$38:$G$71,4,FALSE)</f>
        <v>-0.3</v>
      </c>
      <c r="D69" s="19">
        <f>VLOOKUP($A$3,'Øk. nøkkeltall'!$A$38:$G$71,5,FALSE)</f>
        <v>1.1000000000000001</v>
      </c>
      <c r="E69" s="19">
        <f>VLOOKUP($A$3,'Øk. nøkkeltall'!$A$38:$G$71,6,FALSE)</f>
        <v>-5.7</v>
      </c>
      <c r="F69" s="19">
        <f>VLOOKUP($A$3,'Øk. nøkkeltall'!$A$38:$G$71,7,FALSE)</f>
        <v>-1.3</v>
      </c>
      <c r="G69" s="19">
        <f>VLOOKUP($A$3,'Øk. nøkkeltall'!$A$38:$H$71,8,FALSE)</f>
        <v>-1.4</v>
      </c>
      <c r="H69" s="19">
        <f>VLOOKUP($A$3,'Øk. nøkkeltall'!$A$38:$I$71,9,FALSE)</f>
        <v>2.2000000000000002</v>
      </c>
      <c r="I69" s="19">
        <f>VLOOKUP($A$3,'Øk. nøkkeltall'!$A$38:$J$71,10,FALSE)</f>
        <v>5</v>
      </c>
    </row>
    <row r="70" spans="2:9" x14ac:dyDescent="0.3">
      <c r="B70" t="str">
        <f>B5</f>
        <v>Landet uten Oslo</v>
      </c>
      <c r="C70" s="19">
        <f>'Øk. nøkkeltall'!D62</f>
        <v>-0.4</v>
      </c>
      <c r="D70" s="19">
        <f>'Øk. nøkkeltall'!E62</f>
        <v>3</v>
      </c>
      <c r="E70" s="19">
        <f>'Øk. nøkkeltall'!F62</f>
        <v>2.5</v>
      </c>
      <c r="F70" s="19">
        <f>'Øk. nøkkeltall'!G62</f>
        <v>2.1</v>
      </c>
      <c r="G70" s="19">
        <f>'Øk. nøkkeltall'!H62</f>
        <v>2.9</v>
      </c>
      <c r="H70" s="19">
        <f>'Øk. nøkkeltall'!I62</f>
        <v>2.7</v>
      </c>
      <c r="I70" s="19">
        <f>'Øk. nøkkeltall'!J62</f>
        <v>1.2</v>
      </c>
    </row>
    <row r="71" spans="2:9" x14ac:dyDescent="0.3">
      <c r="B71" t="str">
        <f>B4</f>
        <v>Troms</v>
      </c>
      <c r="C71" s="19">
        <f>VLOOKUP($A$4,'Øk. nøkkeltall'!$A$38:$G$71,4,FALSE)</f>
        <v>-0.6</v>
      </c>
      <c r="D71" s="19">
        <f>VLOOKUP($A$4,'Øk. nøkkeltall'!$A$38:$G$71,5,FALSE)</f>
        <v>2.2999999999999998</v>
      </c>
      <c r="E71" s="19">
        <f>VLOOKUP($A$4,'Øk. nøkkeltall'!$A$38:$G$71,6,FALSE)</f>
        <v>2.6</v>
      </c>
      <c r="F71" s="19">
        <f>VLOOKUP($A$4,'Øk. nøkkeltall'!$A$38:$G$71,7,FALSE)</f>
        <v>1.4</v>
      </c>
      <c r="G71" s="19">
        <f>VLOOKUP($A$4,'Øk. nøkkeltall'!$A$38:$H$71,8,FALSE)</f>
        <v>2.4</v>
      </c>
      <c r="H71" s="19">
        <f>VLOOKUP($A$4,'Øk. nøkkeltall'!$A$38:$I$71,9,FALSE)</f>
        <v>1.7</v>
      </c>
      <c r="I71" s="19">
        <f>VLOOKUP($A$4,'Øk. nøkkeltall'!$A$38:$J$71,10,FALSE)</f>
        <v>0.1</v>
      </c>
    </row>
    <row r="72" spans="2:9" x14ac:dyDescent="0.3">
      <c r="B72" t="str">
        <f>B6</f>
        <v>Kostragruppe 06</v>
      </c>
      <c r="C72" s="19">
        <f>VLOOKUP($A$6,'Øk. nøkkeltall'!$A$38:$G$72,4,FALSE)</f>
        <v>1.6</v>
      </c>
      <c r="D72" s="19">
        <f>VLOOKUP($A$6,'Øk. nøkkeltall'!$A$38:$G$72,5,FALSE)</f>
        <v>5.7</v>
      </c>
      <c r="E72" s="19">
        <f>VLOOKUP($A$6,'Øk. nøkkeltall'!$A$38:$G$72,6,FALSE)</f>
        <v>3.3</v>
      </c>
      <c r="F72" s="19">
        <f>VLOOKUP($A$6,'Øk. nøkkeltall'!$A$38:$G$72,7,FALSE)</f>
        <v>3.1</v>
      </c>
      <c r="G72" s="19">
        <f>VLOOKUP($A$6,'Øk. nøkkeltall'!$A$38:$H$72,8,FALSE)</f>
        <v>3.5</v>
      </c>
      <c r="H72" s="19">
        <f>VLOOKUP($A$6,'Øk. nøkkeltall'!$A$38:$I$72,9,FALSE)</f>
        <v>2.6</v>
      </c>
      <c r="I72" s="19">
        <f>VLOOKUP($A$6,'Øk. nøkkeltall'!$A$38:$J$72,10,FALSE)</f>
        <v>2.2000000000000002</v>
      </c>
    </row>
    <row r="75" spans="2:9" x14ac:dyDescent="0.3">
      <c r="B75" s="10" t="s">
        <v>202</v>
      </c>
    </row>
    <row r="76" spans="2:9" x14ac:dyDescent="0.3">
      <c r="C76" s="10" t="s">
        <v>194</v>
      </c>
      <c r="D76" s="10" t="s">
        <v>195</v>
      </c>
      <c r="E76" s="10" t="s">
        <v>196</v>
      </c>
      <c r="F76" s="10" t="s">
        <v>109</v>
      </c>
      <c r="G76" s="6">
        <v>2012</v>
      </c>
      <c r="H76" s="6">
        <v>2013</v>
      </c>
      <c r="I76" s="6">
        <v>2014</v>
      </c>
    </row>
    <row r="77" spans="2:9" x14ac:dyDescent="0.3">
      <c r="B77" t="str">
        <f>B3</f>
        <v>Storfjord</v>
      </c>
      <c r="C77" s="19">
        <f>VLOOKUP($A$3,'Øk. nøkkeltall'!$A$73:$G$107,4,FALSE)</f>
        <v>68.900000000000006</v>
      </c>
      <c r="D77" s="19">
        <f>VLOOKUP($A$3,'Øk. nøkkeltall'!$A$73:$G$107,5,FALSE)</f>
        <v>65.2</v>
      </c>
      <c r="E77" s="19">
        <f>VLOOKUP($A$3,'Øk. nøkkeltall'!$A$73:$G$107,6,FALSE)</f>
        <v>71.7</v>
      </c>
      <c r="F77" s="19">
        <f>VLOOKUP($A$3,'Øk. nøkkeltall'!$A$73:$G$107,7,FALSE)</f>
        <v>82.1</v>
      </c>
      <c r="G77" s="19">
        <f>VLOOKUP($A$3,'Øk. nøkkeltall'!$A$73:$H$107,8,FALSE)</f>
        <v>82.1</v>
      </c>
      <c r="H77" s="19">
        <f>VLOOKUP($A$3,'Øk. nøkkeltall'!$A$73:$I$107,9,FALSE)</f>
        <v>82.2</v>
      </c>
      <c r="I77" s="19">
        <f>VLOOKUP($A$3,'Øk. nøkkeltall'!$A$73:$J$107,10,FALSE)</f>
        <v>76.2</v>
      </c>
    </row>
    <row r="78" spans="2:9" x14ac:dyDescent="0.3">
      <c r="B78" t="str">
        <f>B5</f>
        <v>Landet uten Oslo</v>
      </c>
      <c r="C78" s="19">
        <f>VLOOKUP($A$5,'Øk. nøkkeltall'!$A$73:$G$107,4,TRUE)</f>
        <v>67.3</v>
      </c>
      <c r="D78" s="19">
        <f>VLOOKUP($A$5,'Øk. nøkkeltall'!$A$73:$G$107,5,TRUE)</f>
        <v>68.7</v>
      </c>
      <c r="E78" s="19">
        <f>VLOOKUP($A$5,'Øk. nøkkeltall'!$A$73:$G$107,6,TRUE)</f>
        <v>72.599999999999994</v>
      </c>
      <c r="F78" s="19">
        <f>VLOOKUP($A$5,'Øk. nøkkeltall'!$A$73:$G$107,7,TRUE)</f>
        <v>74</v>
      </c>
      <c r="G78" s="19">
        <f>VLOOKUP($A$5,'Øk. nøkkeltall'!$A$73:$H$107,8,TRUE)</f>
        <v>73.7</v>
      </c>
      <c r="H78" s="19">
        <f>VLOOKUP($A$5,'Øk. nøkkeltall'!$A$73:$I$107,9,TRUE)</f>
        <v>75.900000000000006</v>
      </c>
      <c r="I78" s="19">
        <f>VLOOKUP($A$5,'Øk. nøkkeltall'!$A$73:$J$107,10,TRUE)</f>
        <v>79.3</v>
      </c>
    </row>
    <row r="79" spans="2:9" x14ac:dyDescent="0.3">
      <c r="B79" t="str">
        <f>B4</f>
        <v>Troms</v>
      </c>
      <c r="C79" s="19">
        <f>VLOOKUP($A$4,'Øk. nøkkeltall'!$A$73:$G$107,4)</f>
        <v>89.4</v>
      </c>
      <c r="D79" s="19">
        <f>VLOOKUP($A$4,'Øk. nøkkeltall'!$A$73:$G$107,5)</f>
        <v>88.7</v>
      </c>
      <c r="E79" s="19">
        <f>VLOOKUP($A$4,'Øk. nøkkeltall'!$A$73:$G$107,6)</f>
        <v>91.5</v>
      </c>
      <c r="F79" s="19">
        <f>VLOOKUP($A$4,'Øk. nøkkeltall'!$A$73:$G$107,7)</f>
        <v>89.9</v>
      </c>
      <c r="G79" s="19">
        <f>VLOOKUP($A$4,'Øk. nøkkeltall'!$A$73:$H$107,8)</f>
        <v>89.3</v>
      </c>
      <c r="H79" s="19">
        <f>VLOOKUP($A$4,'Øk. nøkkeltall'!$A$73:$I$107,9)</f>
        <v>90.3</v>
      </c>
      <c r="I79" s="19">
        <f>VLOOKUP($A$4,'Øk. nøkkeltall'!$A$73:$J$107,10)</f>
        <v>91.7</v>
      </c>
    </row>
    <row r="80" spans="2:9" x14ac:dyDescent="0.3">
      <c r="B80" t="str">
        <f>B6</f>
        <v>Kostragruppe 06</v>
      </c>
      <c r="C80" s="19">
        <f>VLOOKUP($A$6,'Øk. nøkkeltall'!$A$73:$G$107,4)</f>
        <v>53</v>
      </c>
      <c r="D80" s="19">
        <f>VLOOKUP($A$6,'Øk. nøkkeltall'!$A$73:$G$107,5)</f>
        <v>53.2</v>
      </c>
      <c r="E80" s="19">
        <f>VLOOKUP($A$6,'Øk. nøkkeltall'!$A$73:$G$107,6)</f>
        <v>54.6</v>
      </c>
      <c r="F80" s="19">
        <f>VLOOKUP($A$6,'Øk. nøkkeltall'!$A$73:$G$107,7)</f>
        <v>54.3</v>
      </c>
      <c r="G80" s="19">
        <f>VLOOKUP($A$6,'Øk. nøkkeltall'!$A$73:$H$107,8)</f>
        <v>56</v>
      </c>
      <c r="H80" s="19">
        <f>VLOOKUP($A$6,'Øk. nøkkeltall'!$A$73:$I$107,9)</f>
        <v>57.6</v>
      </c>
      <c r="I80" s="19">
        <f>VLOOKUP($A$6,'Øk. nøkkeltall'!$A$73:$J$107,10)</f>
        <v>60.3</v>
      </c>
    </row>
    <row r="83" spans="2:9" x14ac:dyDescent="0.3">
      <c r="B83" s="10" t="s">
        <v>200</v>
      </c>
    </row>
    <row r="85" spans="2:9" x14ac:dyDescent="0.3">
      <c r="C85" s="10" t="s">
        <v>194</v>
      </c>
      <c r="D85" s="10" t="s">
        <v>195</v>
      </c>
      <c r="E85" s="10" t="s">
        <v>196</v>
      </c>
      <c r="F85" s="10" t="s">
        <v>109</v>
      </c>
      <c r="G85" s="6">
        <v>2012</v>
      </c>
      <c r="H85" s="6">
        <v>2013</v>
      </c>
      <c r="I85" s="6">
        <v>2014</v>
      </c>
    </row>
    <row r="86" spans="2:9" x14ac:dyDescent="0.3">
      <c r="B86" t="str">
        <f>B3</f>
        <v>Storfjord</v>
      </c>
      <c r="C86" s="19">
        <f>VLOOKUP($A$3,'Øk. nøkkeltall'!$A$3:$G$36,4,FALSE)</f>
        <v>0.2</v>
      </c>
      <c r="D86" s="19">
        <f>VLOOKUP($A$3,'Øk. nøkkeltall'!$A$3:$G$36,5,FALSE)</f>
        <v>1.8</v>
      </c>
      <c r="E86" s="19">
        <f>VLOOKUP($A$3,'Øk. nøkkeltall'!$A$3:$G$36,6,FALSE)</f>
        <v>0.1</v>
      </c>
      <c r="F86" s="19">
        <f>VLOOKUP($A$3,'Øk. nøkkeltall'!$A$3:$G$36,7,FALSE)</f>
        <v>0.1</v>
      </c>
      <c r="G86" s="19">
        <f>VLOOKUP($A$3,'Øk. nøkkeltall'!$A$3:$H$36,8,FALSE)</f>
        <v>1.2</v>
      </c>
      <c r="H86" s="19">
        <f>VLOOKUP($A$3,'Øk. nøkkeltall'!$A$3:$I$36,9,FALSE)</f>
        <v>1.2</v>
      </c>
      <c r="I86" s="19">
        <f>VLOOKUP($A$3,'Øk. nøkkeltall'!$A$3:$J$37,10,FALSE)</f>
        <v>1.7</v>
      </c>
    </row>
    <row r="87" spans="2:9" x14ac:dyDescent="0.3">
      <c r="B87" t="str">
        <f>B5</f>
        <v>Landet uten Oslo</v>
      </c>
      <c r="C87" s="19">
        <f>VLOOKUP($A$5,'Øk. nøkkeltall'!$A$3:$G$36,4)</f>
        <v>5.7</v>
      </c>
      <c r="D87" s="19">
        <f>VLOOKUP($A$5,'Øk. nøkkeltall'!$A$3:$G$36,5)</f>
        <v>5.5</v>
      </c>
      <c r="E87" s="19">
        <f>VLOOKUP($A$5,'Øk. nøkkeltall'!$A$3:$G$36,6)</f>
        <v>5.5</v>
      </c>
      <c r="F87" s="19">
        <f>VLOOKUP($A$5,'Øk. nøkkeltall'!$A$3:$G$36,7)</f>
        <v>5.6</v>
      </c>
      <c r="G87" s="19">
        <f>VLOOKUP($A$5,'Øk. nøkkeltall'!$A$3:$H$36,8)</f>
        <v>6.1</v>
      </c>
      <c r="H87" s="19">
        <f>VLOOKUP($A$5,'Øk. nøkkeltall'!$A$3:$I$36,9)</f>
        <v>6.2</v>
      </c>
      <c r="I87" s="19">
        <f>VLOOKUP($A$5,'Øk. nøkkeltall'!$A$3:$J$37,10)</f>
        <v>6.4</v>
      </c>
    </row>
    <row r="88" spans="2:9" x14ac:dyDescent="0.3">
      <c r="B88" t="str">
        <f>B4</f>
        <v>Troms</v>
      </c>
      <c r="C88" s="19">
        <f>VLOOKUP($A$4,'Øk. nøkkeltall'!$A$3:$G$36,4)</f>
        <v>1.3</v>
      </c>
      <c r="D88" s="19">
        <f>VLOOKUP($A$4,'Øk. nøkkeltall'!$A$3:$G$36,5)</f>
        <v>1.1000000000000001</v>
      </c>
      <c r="E88" s="19">
        <f>VLOOKUP($A$4,'Øk. nøkkeltall'!$A$3:$G$36,6)</f>
        <v>1.2</v>
      </c>
      <c r="F88" s="19">
        <f>VLOOKUP($A$4,'Øk. nøkkeltall'!$A$3:$G$36,7)</f>
        <v>1.3</v>
      </c>
      <c r="G88" s="19">
        <f>VLOOKUP($A$4,'Øk. nøkkeltall'!$A$3:$H$36,8)</f>
        <v>1.6</v>
      </c>
      <c r="H88" s="19">
        <f>VLOOKUP($A$4,'Øk. nøkkeltall'!$A$3:$I$36,9)</f>
        <v>2</v>
      </c>
      <c r="I88" s="19">
        <f>VLOOKUP($A$4,'Øk. nøkkeltall'!$A$3:$J$37,10)</f>
        <v>1.4</v>
      </c>
    </row>
    <row r="89" spans="2:9" x14ac:dyDescent="0.3">
      <c r="B89" t="str">
        <f>B6</f>
        <v>Kostragruppe 06</v>
      </c>
      <c r="C89" s="19">
        <f>VLOOKUP($A$6,'Øk. nøkkeltall'!$A$3:$G$36,4)</f>
        <v>7.9</v>
      </c>
      <c r="D89" s="19">
        <f>VLOOKUP($A$6,'Øk. nøkkeltall'!$A$3:$G$36,5)</f>
        <v>7.2</v>
      </c>
      <c r="E89" s="19">
        <f>VLOOKUP($A$6,'Øk. nøkkeltall'!$A$3:$G$36,6)</f>
        <v>7</v>
      </c>
      <c r="F89" s="19">
        <f>VLOOKUP($A$6,'Øk. nøkkeltall'!$A$3:$G$36,7)</f>
        <v>7.2</v>
      </c>
      <c r="G89" s="19">
        <f>VLOOKUP($A$6,'Øk. nøkkeltall'!$A$3:$H$36,8)</f>
        <v>6.7</v>
      </c>
      <c r="H89" s="19">
        <f>VLOOKUP($A$6,'Øk. nøkkeltall'!$A$3:$I$36,9)</f>
        <v>7.1</v>
      </c>
      <c r="I89" s="19">
        <f>VLOOKUP($A$6,'Øk. nøkkeltall'!$A$3:$J$37,10)</f>
        <v>6.6</v>
      </c>
    </row>
    <row r="92" spans="2:9" x14ac:dyDescent="0.3">
      <c r="B92" s="6" t="s">
        <v>214</v>
      </c>
    </row>
    <row r="93" spans="2:9" x14ac:dyDescent="0.3">
      <c r="C93" s="10" t="s">
        <v>194</v>
      </c>
      <c r="D93" s="10" t="s">
        <v>195</v>
      </c>
      <c r="E93" s="10" t="s">
        <v>196</v>
      </c>
      <c r="F93" s="10" t="s">
        <v>109</v>
      </c>
      <c r="G93" s="6">
        <v>2012</v>
      </c>
      <c r="H93" s="6">
        <v>2013</v>
      </c>
      <c r="I93" s="6">
        <v>2014</v>
      </c>
    </row>
    <row r="94" spans="2:9" x14ac:dyDescent="0.3">
      <c r="B94" t="str">
        <f>B3</f>
        <v>Storfjord</v>
      </c>
      <c r="C94" s="18">
        <f>VLOOKUP($A$3,'Øk. nøkkeltall'!$A$108:$G$142,4)</f>
        <v>52318</v>
      </c>
      <c r="D94" s="18">
        <f>VLOOKUP($A$3,'Øk. nøkkeltall'!$A$108:$G$142,5)</f>
        <v>56608</v>
      </c>
      <c r="E94" s="18">
        <f>VLOOKUP($A$3,'Øk. nøkkeltall'!$A$108:$G$142,6)</f>
        <v>63014</v>
      </c>
      <c r="F94" s="18">
        <f>VLOOKUP($A$3,'Øk. nøkkeltall'!$A$108:$G$142,7)</f>
        <v>78636</v>
      </c>
      <c r="G94" s="18">
        <f>VLOOKUP($A$3,'Øk. nøkkeltall'!$A$108:$H$142,8)</f>
        <v>82167</v>
      </c>
      <c r="H94" s="18">
        <f>VLOOKUP($A$3,'Øk. nøkkeltall'!$A$108:$I$142,9)</f>
        <v>82403</v>
      </c>
      <c r="I94" s="18">
        <f>VLOOKUP($A$3,'Øk. nøkkeltall'!$A$108:$J$142,10)</f>
        <v>81986</v>
      </c>
    </row>
    <row r="95" spans="2:9" x14ac:dyDescent="0.3">
      <c r="B95" t="str">
        <f>B5</f>
        <v>Landet uten Oslo</v>
      </c>
      <c r="C95" s="18">
        <f>VLOOKUP($A$5,'Øk. nøkkeltall'!$A$108:$G$142,4)</f>
        <v>37182</v>
      </c>
      <c r="D95" s="18">
        <f>VLOOKUP($A$5,'Øk. nøkkeltall'!$A$108:$G$142,5)</f>
        <v>41221</v>
      </c>
      <c r="E95" s="18">
        <f>VLOOKUP($A$5,'Øk. nøkkeltall'!$A$108:$G$142,6)</f>
        <v>45129</v>
      </c>
      <c r="F95" s="18">
        <f>VLOOKUP($A$5,'Øk. nøkkeltall'!$A$108:$G$142,7)</f>
        <v>48326</v>
      </c>
      <c r="G95" s="18">
        <f>VLOOKUP($A$5,'Øk. nøkkeltall'!$A$108:$H$142,8)</f>
        <v>50905</v>
      </c>
      <c r="H95" s="18">
        <f>VLOOKUP($A$5,'Øk. nøkkeltall'!$A$108:$I$142,9)</f>
        <v>54687</v>
      </c>
      <c r="I95" s="18">
        <f>VLOOKUP($A$5,'Øk. nøkkeltall'!$A$108:$J$142,10)</f>
        <v>58160</v>
      </c>
    </row>
    <row r="96" spans="2:9" x14ac:dyDescent="0.3">
      <c r="B96" t="str">
        <f>B4</f>
        <v>Troms</v>
      </c>
      <c r="C96" s="18">
        <f>VLOOKUP($A$4,'Øk. nøkkeltall'!$A$108:$G$142,4,TRUE)</f>
        <v>55647</v>
      </c>
      <c r="D96" s="18">
        <f>VLOOKUP($A$4,'Øk. nøkkeltall'!$A$108:$G$142,5,TRUE)</f>
        <v>59907</v>
      </c>
      <c r="E96" s="18">
        <f>VLOOKUP($A$4,'Øk. nøkkeltall'!$A$108:$G$142,6,TRUE)</f>
        <v>63834</v>
      </c>
      <c r="F96" s="18">
        <f>VLOOKUP($A$4,'Øk. nøkkeltall'!$A$108:$G$142,7,TRUE)</f>
        <v>66449</v>
      </c>
      <c r="G96" s="18">
        <f>VLOOKUP($A$4,'Øk. nøkkeltall'!$A$108:$H$142,8,TRUE)</f>
        <v>69272</v>
      </c>
      <c r="H96" s="18">
        <f>VLOOKUP($A$4,'Øk. nøkkeltall'!$A$108:$I$142,9,TRUE)</f>
        <v>72686</v>
      </c>
      <c r="I96" s="18">
        <f>VLOOKUP($A$4,'Øk. nøkkeltall'!$A$108:$J$142,10,TRUE)</f>
        <v>74505</v>
      </c>
    </row>
    <row r="97" spans="1:11" x14ac:dyDescent="0.3">
      <c r="B97" t="str">
        <f>B6</f>
        <v>Kostragruppe 06</v>
      </c>
      <c r="C97" s="18">
        <f>VLOOKUP($A$6,'Øk. nøkkeltall'!$A$108:$G$142,4)</f>
        <v>46689</v>
      </c>
      <c r="D97" s="18">
        <f>VLOOKUP($A$6,'Øk. nøkkeltall'!$A$108:$G$142,5)</f>
        <v>52352</v>
      </c>
      <c r="E97" s="18">
        <f>VLOOKUP($A$6,'Øk. nøkkeltall'!$A$108:$G$142,6)</f>
        <v>54664</v>
      </c>
      <c r="F97" s="18">
        <f>VLOOKUP($A$6,'Øk. nøkkeltall'!$A$108:$G$142,7)</f>
        <v>57484</v>
      </c>
      <c r="G97" s="18">
        <f>VLOOKUP($A$6,'Øk. nøkkeltall'!$A$108:$H$142,8)</f>
        <v>62281</v>
      </c>
      <c r="H97" s="18">
        <f>VLOOKUP($A$6,'Øk. nøkkeltall'!$A$108:$I$142,9)</f>
        <v>65868</v>
      </c>
      <c r="I97" s="18">
        <f>VLOOKUP($A$6,'Øk. nøkkeltall'!$A$108:$J$142,10)</f>
        <v>72490</v>
      </c>
    </row>
    <row r="99" spans="1:11" x14ac:dyDescent="0.3">
      <c r="C99" s="10"/>
      <c r="D99" s="10"/>
      <c r="E99" s="10"/>
      <c r="F99" s="10"/>
    </row>
    <row r="100" spans="1:11" x14ac:dyDescent="0.3">
      <c r="B100" s="10" t="s">
        <v>404</v>
      </c>
    </row>
    <row r="101" spans="1:11" s="76" customFormat="1" x14ac:dyDescent="0.3">
      <c r="B101" s="10"/>
    </row>
    <row r="102" spans="1:11" ht="100.8" x14ac:dyDescent="0.3">
      <c r="B102" s="68" t="str">
        <f>'Inntekter, årsverk, areal'!B68</f>
        <v>Skatt på inntekt og formue (inkludert naturressursskatt) i prosent av brutto dri</v>
      </c>
      <c r="C102" s="68" t="str">
        <f>'Inntekter, årsverk, areal'!C68</f>
        <v>Statlig rammeoverføring i prosent av brutto driftsinntekter, konsern</v>
      </c>
      <c r="D102" s="68" t="str">
        <f>'Inntekter, årsverk, areal'!D68</f>
        <v>Andre statlige tilskudd til driftsformål i prosent av brutto driftsinntekter, ko</v>
      </c>
      <c r="E102" s="68" t="str">
        <f>'Inntekter, årsverk, areal'!E68</f>
        <v>Eiendomsskatt i prosent av brutto driftsinntekter, konsern</v>
      </c>
      <c r="F102" s="68" t="str">
        <f>'Inntekter, årsverk, areal'!F68</f>
        <v>Salgs- og leieinntekter i prosent av brutto driftsinntekter, konsern</v>
      </c>
      <c r="G102" s="68" t="str">
        <f>'Inntekter, årsverk, areal'!G68</f>
        <v>Andre driftsinntekter i prosent av brutto driftsinntekter, konsern</v>
      </c>
      <c r="H102" s="68" t="str">
        <f>'Inntekter, årsverk, areal'!H68</f>
        <v>Inntekter fra konsesjonskraft, kraftrettigheter og annen kraft for videresalg,</v>
      </c>
      <c r="I102" s="68" t="str">
        <f>'Inntekter, årsverk, areal'!I68</f>
        <v>sum</v>
      </c>
      <c r="J102" s="68">
        <f>'Inntekter, årsverk, areal'!J68</f>
        <v>0</v>
      </c>
      <c r="K102" s="68"/>
    </row>
    <row r="103" spans="1:11" x14ac:dyDescent="0.3">
      <c r="A103" s="76" t="str">
        <f>$B$3</f>
        <v>Storfjord</v>
      </c>
      <c r="B103" s="202">
        <f>VLOOKUP($A$3,'Inntekter, årsverk, areal'!$A$68:$I$103,2,FALSE)</f>
        <v>19.100000000000001</v>
      </c>
      <c r="C103" s="202">
        <f>VLOOKUP($A$3,'Inntekter, årsverk, areal'!$A$69:$J$103,3,FALSE)</f>
        <v>44.9</v>
      </c>
      <c r="D103" s="202">
        <f>VLOOKUP($A$3,'Inntekter, årsverk, areal'!$A$69:$J$103,4,FALSE)</f>
        <v>0.5</v>
      </c>
      <c r="E103" s="202">
        <f>VLOOKUP($A$3,'Inntekter, årsverk, areal'!$A$69:$J$103,5,FALSE)</f>
        <v>4.2</v>
      </c>
      <c r="F103" s="202">
        <f>VLOOKUP($A$3,'Inntekter, årsverk, areal'!$A$69:$J$103,6,FALSE)</f>
        <v>8.3000000000000007</v>
      </c>
      <c r="G103" s="202">
        <f>VLOOKUP($A$3,'Inntekter, årsverk, areal'!$A$69:$J$103,7,FALSE)</f>
        <v>20</v>
      </c>
      <c r="H103" s="202">
        <f>VLOOKUP($A$3,'Inntekter, årsverk, areal'!$A$69:$J$103,8,FALSE)</f>
        <v>3</v>
      </c>
      <c r="I103" s="202">
        <f>VLOOKUP($A$3,'Inntekter, årsverk, areal'!$A$69:$J$103,9,FALSE)</f>
        <v>100</v>
      </c>
      <c r="J103" s="202">
        <f>VLOOKUP($A$3,'Inntekter, årsverk, areal'!$A$69:$J$103,10,FALSE)</f>
        <v>0</v>
      </c>
    </row>
    <row r="104" spans="1:11" x14ac:dyDescent="0.3">
      <c r="A104" s="76" t="str">
        <f>$B$5</f>
        <v>Landet uten Oslo</v>
      </c>
      <c r="B104" s="202">
        <f>VLOOKUP($A$5,'Inntekter, årsverk, areal'!$A$69:$J$103,2,FALSE)</f>
        <v>32.5</v>
      </c>
      <c r="C104" s="202">
        <f>VLOOKUP($A$5,'Inntekter, årsverk, areal'!$A$69:$J$103,3,FALSE)</f>
        <v>33.700000000000003</v>
      </c>
      <c r="D104" s="202">
        <f>VLOOKUP($A$5,'Inntekter, årsverk, areal'!$A$69:$J$103,4,FALSE)</f>
        <v>3.2</v>
      </c>
      <c r="E104" s="202">
        <f>VLOOKUP($A$5,'Inntekter, årsverk, areal'!$A$69:$J$103,5,FALSE)</f>
        <v>2.9</v>
      </c>
      <c r="F104" s="202">
        <f>VLOOKUP($A$5,'Inntekter, årsverk, areal'!$A$69:$J$103,6,FALSE)</f>
        <v>14.3</v>
      </c>
      <c r="G104" s="202">
        <f>VLOOKUP($A$5,'Inntekter, årsverk, areal'!$A$69:$J$103,7,FALSE)</f>
        <v>13.1</v>
      </c>
      <c r="H104" s="202">
        <f>VLOOKUP($A$5,'Inntekter, årsverk, areal'!$A$69:$J$103,8,FALSE)</f>
        <v>0</v>
      </c>
      <c r="I104" s="202">
        <f>VLOOKUP($A$5,'Inntekter, årsverk, areal'!$A$69:$J$103,9,FALSE)</f>
        <v>99.7</v>
      </c>
      <c r="J104" s="202">
        <f>VLOOKUP($A$5,'Inntekter, årsverk, areal'!$A$69:$J$103,10,FALSE)</f>
        <v>0</v>
      </c>
    </row>
    <row r="105" spans="1:11" x14ac:dyDescent="0.3">
      <c r="A105" s="76" t="str">
        <f>$B$4</f>
        <v>Troms</v>
      </c>
      <c r="B105" s="202">
        <f>VLOOKUP($A$4,'Inntekter, årsverk, areal'!$A$69:$J$103,2,FALSE)</f>
        <v>26.3</v>
      </c>
      <c r="C105" s="202">
        <f>VLOOKUP($A$4,'Inntekter, årsverk, areal'!$A$69:$J$103,3,FALSE)</f>
        <v>37.6</v>
      </c>
      <c r="D105" s="202">
        <f>VLOOKUP($A$4,'Inntekter, årsverk, areal'!$A$69:$J$103,4,FALSE)</f>
        <v>3.8</v>
      </c>
      <c r="E105" s="202">
        <f>VLOOKUP($A$4,'Inntekter, årsverk, areal'!$A$69:$J$103,5,FALSE)</f>
        <v>2.9</v>
      </c>
      <c r="F105" s="202">
        <f>VLOOKUP($A$4,'Inntekter, årsverk, areal'!$A$69:$J$103,6,FALSE)</f>
        <v>13.7</v>
      </c>
      <c r="G105" s="202">
        <f>VLOOKUP($A$4,'Inntekter, årsverk, areal'!$A$69:$J$103,7,FALSE)</f>
        <v>15.6</v>
      </c>
      <c r="H105" s="202">
        <f>VLOOKUP($A$4,'Inntekter, årsverk, areal'!$A$69:$J$103,8,FALSE)</f>
        <v>0</v>
      </c>
      <c r="I105" s="202">
        <f>VLOOKUP($A$4,'Inntekter, årsverk, areal'!$A$69:$J$103,9,FALSE)</f>
        <v>99.9</v>
      </c>
      <c r="J105" s="202">
        <f>VLOOKUP($A$4,'Inntekter, årsverk, areal'!$A$69:$J$103,10,FALSE)</f>
        <v>0</v>
      </c>
    </row>
    <row r="106" spans="1:11" x14ac:dyDescent="0.3">
      <c r="A106" s="76" t="str">
        <f>$B$6</f>
        <v>Kostragruppe 06</v>
      </c>
      <c r="B106" s="202">
        <f>VLOOKUP($A$6,'Inntekter, årsverk, areal'!$A$69:$J$103,2,FALSE)</f>
        <v>18.100000000000001</v>
      </c>
      <c r="C106" s="202">
        <f>VLOOKUP($A$6,'Inntekter, årsverk, areal'!$A$69:$J$103,3,FALSE)</f>
        <v>39.200000000000003</v>
      </c>
      <c r="D106" s="202">
        <f>VLOOKUP($A$6,'Inntekter, årsverk, areal'!$A$69:$J$103,4,FALSE)</f>
        <v>4</v>
      </c>
      <c r="E106" s="202">
        <f>VLOOKUP($A$6,'Inntekter, årsverk, areal'!$A$69:$J$103,5,FALSE)</f>
        <v>5.8</v>
      </c>
      <c r="F106" s="202">
        <f>VLOOKUP($A$6,'Inntekter, årsverk, areal'!$A$69:$J$103,6,FALSE)</f>
        <v>12.3</v>
      </c>
      <c r="G106" s="202">
        <f>VLOOKUP($A$6,'Inntekter, årsverk, areal'!$A$69:$J$103,7,FALSE)</f>
        <v>18.600000000000001</v>
      </c>
      <c r="H106" s="202">
        <f>VLOOKUP($A$6,'Inntekter, årsverk, areal'!$A$69:$J$103,8,FALSE)</f>
        <v>0</v>
      </c>
      <c r="I106" s="202">
        <f>VLOOKUP($A$6,'Inntekter, årsverk, areal'!$A$69:$J$103,9,FALSE)</f>
        <v>98</v>
      </c>
      <c r="J106" s="202">
        <f>VLOOKUP($A$6,'Inntekter, årsverk, areal'!$A$69:$J$103,10,FALSE)</f>
        <v>0</v>
      </c>
    </row>
    <row r="107" spans="1:11" s="76" customFormat="1" x14ac:dyDescent="0.3"/>
    <row r="108" spans="1:11" x14ac:dyDescent="0.3">
      <c r="B108" s="10" t="s">
        <v>465</v>
      </c>
    </row>
    <row r="109" spans="1:11" x14ac:dyDescent="0.3">
      <c r="C109" s="10" t="s">
        <v>194</v>
      </c>
      <c r="D109" s="10" t="s">
        <v>195</v>
      </c>
      <c r="E109" s="10" t="s">
        <v>196</v>
      </c>
      <c r="F109" s="10" t="s">
        <v>109</v>
      </c>
      <c r="G109" s="6">
        <v>2012</v>
      </c>
      <c r="H109" s="6">
        <v>2013</v>
      </c>
      <c r="I109" s="6">
        <v>2014</v>
      </c>
    </row>
    <row r="110" spans="1:11" x14ac:dyDescent="0.3">
      <c r="B110" t="str">
        <f>B3</f>
        <v>Storfjord</v>
      </c>
      <c r="C110" s="18">
        <f>VLOOKUP($A$3,'Øk. nøkkeltall'!$A$143:$J$167,4,FALSE)</f>
        <v>0</v>
      </c>
      <c r="D110" s="18">
        <f>VLOOKUP($A$3,'Øk. nøkkeltall'!$A$143:$J$167,5,FALSE)</f>
        <v>0</v>
      </c>
      <c r="E110" s="18">
        <f>VLOOKUP($A$3,'Øk. nøkkeltall'!$A$143:$J$167,6,FALSE)</f>
        <v>0</v>
      </c>
      <c r="F110" s="18">
        <f>VLOOKUP($A$3,'Øk. nøkkeltall'!$A$143:$J$167,7,FALSE)</f>
        <v>0</v>
      </c>
      <c r="G110" s="208">
        <f>VLOOKUP($A$3,'Øk. nøkkeltall'!$A$143:$J$168,8,FALSE)</f>
        <v>60.7</v>
      </c>
      <c r="H110" s="208">
        <f>VLOOKUP($A$3,'Øk. nøkkeltall'!$A$143:$J$168,9,FALSE)</f>
        <v>62.1</v>
      </c>
      <c r="I110" s="208">
        <f>VLOOKUP($A$3,'Øk. nøkkeltall'!$A$143:$J$168,10,FALSE)</f>
        <v>48</v>
      </c>
    </row>
    <row r="111" spans="1:11" x14ac:dyDescent="0.3">
      <c r="B111" t="str">
        <f>B5</f>
        <v>Landet uten Oslo</v>
      </c>
      <c r="C111" s="18" t="e">
        <f>VLOOKUP($A$5,'Øk. nøkkeltall'!$A$143:$J$167,4)</f>
        <v>#N/A</v>
      </c>
      <c r="D111" s="18" t="e">
        <f>VLOOKUP($A$5,'Øk. nøkkeltall'!$A$143:$J$167,5)</f>
        <v>#N/A</v>
      </c>
      <c r="E111" s="18" t="e">
        <f>VLOOKUP($A$5,'Øk. nøkkeltall'!$A$143:$J$167,6)</f>
        <v>#N/A</v>
      </c>
      <c r="F111" s="18" t="e">
        <f>VLOOKUP($A$5,'Øk. nøkkeltall'!$A$143:$J$167,7)</f>
        <v>#N/A</v>
      </c>
      <c r="G111" s="208" t="str">
        <f>VLOOKUP($A$5,'Øk. nøkkeltall'!$A$143:$J$168,8,FALSE)</f>
        <v xml:space="preserve"> </v>
      </c>
      <c r="H111" s="208" t="str">
        <f>VLOOKUP($A$5,'Øk. nøkkeltall'!$A$143:$J$168,9,FALSE)</f>
        <v xml:space="preserve"> </v>
      </c>
      <c r="I111" s="208" t="str">
        <f>VLOOKUP($A$5,'Øk. nøkkeltall'!$A$143:$J$168,10,FALSE)</f>
        <v xml:space="preserve"> </v>
      </c>
    </row>
    <row r="112" spans="1:11" x14ac:dyDescent="0.3">
      <c r="B112" t="str">
        <f>B4</f>
        <v>Troms</v>
      </c>
      <c r="C112" s="18">
        <f>VLOOKUP($A$4,'Øk. nøkkeltall'!$A$143:$J$167,4,FALSE)</f>
        <v>0</v>
      </c>
      <c r="D112" s="18">
        <f>VLOOKUP($A$4,'Øk. nøkkeltall'!$A$143:$J$167,5,FALSE)</f>
        <v>0</v>
      </c>
      <c r="E112" s="18">
        <f>VLOOKUP($A$4,'Øk. nøkkeltall'!$A$143:$J$167,6,FALSE)</f>
        <v>0</v>
      </c>
      <c r="F112" s="18">
        <f>VLOOKUP($A$4,'Øk. nøkkeltall'!$A$143:$J$167,7,FALSE)</f>
        <v>0</v>
      </c>
      <c r="G112" s="208" t="str">
        <f>VLOOKUP($A$4,'Øk. nøkkeltall'!$A$143:$J$168,8,FALSE)</f>
        <v xml:space="preserve"> </v>
      </c>
      <c r="H112" s="208" t="str">
        <f>VLOOKUP($A$4,'Øk. nøkkeltall'!$A$143:$J$168,9,FALSE)</f>
        <v xml:space="preserve"> </v>
      </c>
      <c r="I112" s="208" t="str">
        <f>VLOOKUP($A$4,'Øk. nøkkeltall'!$A$143:$J$168,10,FALSE)</f>
        <v xml:space="preserve"> </v>
      </c>
    </row>
    <row r="113" spans="1:12" x14ac:dyDescent="0.3">
      <c r="B113" t="str">
        <f>B6</f>
        <v>Kostragruppe 06</v>
      </c>
      <c r="C113" s="18">
        <f>VLOOKUP($A$6,'Øk. nøkkeltall'!$A$143:$J$167,4)</f>
        <v>0</v>
      </c>
      <c r="D113" s="18">
        <f>VLOOKUP($A$6,'Øk. nøkkeltall'!$A$143:$J$167,5)</f>
        <v>0</v>
      </c>
      <c r="E113" s="18">
        <f>VLOOKUP($A$6,'Øk. nøkkeltall'!$A$143:$J$167,6)</f>
        <v>0</v>
      </c>
      <c r="F113" s="18">
        <f>VLOOKUP($A$6,'Øk. nøkkeltall'!$A$143:$J$167,7)</f>
        <v>0</v>
      </c>
      <c r="G113" s="18" t="str">
        <f>VLOOKUP($A$6,'Øk. nøkkeltall'!$A$143:$J$167,8)</f>
        <v xml:space="preserve"> </v>
      </c>
      <c r="H113" s="18" t="str">
        <f>VLOOKUP($A$6,'Øk. nøkkeltall'!$A$143:$J$167,9)</f>
        <v xml:space="preserve"> </v>
      </c>
      <c r="I113" s="18" t="str">
        <f>VLOOKUP($A$6,'Øk. nøkkeltall'!$A$143:$J$167,10)</f>
        <v xml:space="preserve"> </v>
      </c>
    </row>
    <row r="117" spans="1:12" x14ac:dyDescent="0.3">
      <c r="B117" s="6" t="s">
        <v>447</v>
      </c>
    </row>
    <row r="119" spans="1:12" ht="43.2" x14ac:dyDescent="0.3">
      <c r="B119" s="6" t="str">
        <f>'Fordeling netto driftsutg.'!C2</f>
        <v>Administrasjon og styring</v>
      </c>
      <c r="C119" s="6" t="str">
        <f>'Fordeling netto driftsutg.'!D2</f>
        <v>Barnehage</v>
      </c>
      <c r="D119" s="6" t="str">
        <f>'Fordeling netto driftsutg.'!E2</f>
        <v>Grunnskole</v>
      </c>
      <c r="E119" s="6">
        <f>'Fordeling netto driftsutg.'!F2</f>
        <v>0</v>
      </c>
      <c r="F119" s="6" t="str">
        <f>'Fordeling netto driftsutg.'!G2</f>
        <v>Helse og omsorg</v>
      </c>
      <c r="G119" s="6" t="str">
        <f>'Fordeling netto driftsutg.'!H2</f>
        <v>Sosialtjenesten</v>
      </c>
      <c r="H119" s="6" t="str">
        <f>'Fordeling netto driftsutg.'!I2</f>
        <v>Barnevern</v>
      </c>
      <c r="I119" s="6" t="str">
        <f>'Fordeling netto driftsutg.'!L2</f>
        <v>Kultur</v>
      </c>
      <c r="J119" s="6" t="str">
        <f>'Fordeling netto driftsutg.'!N2</f>
        <v>Samferdsel</v>
      </c>
      <c r="K119" s="68" t="str">
        <f>'Fordeling netto driftsutg.'!O2</f>
        <v>Andre tjenester samlet</v>
      </c>
    </row>
    <row r="120" spans="1:12" x14ac:dyDescent="0.3">
      <c r="A120" t="str">
        <f>$B$3</f>
        <v>Storfjord</v>
      </c>
      <c r="B120">
        <f>VLOOKUP($A$3,'Fordeling netto driftsutg.'!$A$2:$T$36,3)</f>
        <v>15.8</v>
      </c>
      <c r="C120">
        <f>VLOOKUP($A$3,'Fordeling netto driftsutg.'!$A$2:$T$36,4)</f>
        <v>8.9</v>
      </c>
      <c r="D120">
        <f>VLOOKUP($A$3,'Fordeling netto driftsutg.'!$A$2:$T$36,5)</f>
        <v>23.7</v>
      </c>
      <c r="E120">
        <f>VLOOKUP($A$3,'Fordeling netto driftsutg.'!$A$2:$T$36,6)</f>
        <v>0</v>
      </c>
      <c r="F120">
        <f>VLOOKUP($A$3,'Fordeling netto driftsutg.'!$A$2:$T$36,7)</f>
        <v>38.799999999999997</v>
      </c>
      <c r="G120" s="19">
        <f>VLOOKUP($A$3,'Fordeling netto driftsutg.'!$A$2:$T$36,8)</f>
        <v>1.9</v>
      </c>
      <c r="H120">
        <f>VLOOKUP($A$3,'Fordeling netto driftsutg.'!$A$2:$T$36,9)</f>
        <v>3.7</v>
      </c>
      <c r="I120">
        <f>VLOOKUP($A$3,'Fordeling netto driftsutg.'!$A$2:$T$36,12)</f>
        <v>3.3</v>
      </c>
      <c r="J120">
        <f>VLOOKUP($A$3,'Fordeling netto driftsutg.'!$A$2:$T$36,14)</f>
        <v>2.8</v>
      </c>
      <c r="K120">
        <f>VLOOKUP($A$3,'Fordeling netto driftsutg.'!$A$2:$T$36,15)</f>
        <v>-0.6</v>
      </c>
      <c r="L120">
        <f>SUM(B119:K119)</f>
        <v>0</v>
      </c>
    </row>
    <row r="121" spans="1:12" x14ac:dyDescent="0.3">
      <c r="A121" t="str">
        <f>$B$5</f>
        <v>Landet uten Oslo</v>
      </c>
      <c r="B121">
        <f>VLOOKUP($A$5,'Fordeling netto driftsutg.'!$A$2:$U$36,3)</f>
        <v>8.1999999999999993</v>
      </c>
      <c r="C121">
        <f>VLOOKUP($A$5,'Fordeling netto driftsutg.'!$A$2:$U$36,4)</f>
        <v>14.9</v>
      </c>
      <c r="D121">
        <f>VLOOKUP($A$5,'Fordeling netto driftsutg.'!$A$2:$U$36,5)</f>
        <v>24.4</v>
      </c>
      <c r="E121">
        <f>VLOOKUP($A$5,'Fordeling netto driftsutg.'!$A$2:$U$36,6)</f>
        <v>0</v>
      </c>
      <c r="F121">
        <f>VLOOKUP($A$5,'Fordeling netto driftsutg.'!$A$2:$U$36,7)</f>
        <v>38</v>
      </c>
      <c r="G121">
        <f>VLOOKUP($A$5,'Fordeling netto driftsutg.'!$A$2:$U$36,8)</f>
        <v>5.0999999999999996</v>
      </c>
      <c r="H121">
        <f>VLOOKUP($A$5,'Fordeling netto driftsutg.'!$A$2:$U$36,9)</f>
        <v>3.4</v>
      </c>
      <c r="I121">
        <f>VLOOKUP($A$5,'Fordeling netto driftsutg.'!$A$2:$U$36,12)</f>
        <v>3.8</v>
      </c>
      <c r="J121">
        <f>VLOOKUP($A$5,'Fordeling netto driftsutg.'!$A$2:$U$36,14)</f>
        <v>1.6</v>
      </c>
      <c r="K121">
        <f>VLOOKUP($A$5,'Fordeling netto driftsutg.'!$A$2:$U$36,15)</f>
        <v>3</v>
      </c>
    </row>
    <row r="122" spans="1:12" x14ac:dyDescent="0.3">
      <c r="A122" t="str">
        <f>$B$4</f>
        <v>Troms</v>
      </c>
      <c r="B122">
        <f>VLOOKUP($A$4,'Fordeling netto driftsutg.'!$A$2:$U$36,3)</f>
        <v>8.6</v>
      </c>
      <c r="C122">
        <f>VLOOKUP($A$4,'Fordeling netto driftsutg.'!$A$2:$U$36,4)</f>
        <v>13.7</v>
      </c>
      <c r="D122">
        <f>VLOOKUP($A$4,'Fordeling netto driftsutg.'!$A$2:$U$36,5)</f>
        <v>23.4</v>
      </c>
      <c r="E122">
        <f>VLOOKUP($A$4,'Fordeling netto driftsutg.'!$A$2:$U$36,6)</f>
        <v>0</v>
      </c>
      <c r="F122">
        <f>VLOOKUP($A$4,'Fordeling netto driftsutg.'!$A$2:$U$36,7)</f>
        <v>38.700000000000003</v>
      </c>
      <c r="G122">
        <f>VLOOKUP($A$4,'Fordeling netto driftsutg.'!$A$2:$U$36,8)</f>
        <v>4.7</v>
      </c>
      <c r="H122">
        <f>VLOOKUP($A$4,'Fordeling netto driftsutg.'!$A$2:$U$36,9)</f>
        <v>3.6</v>
      </c>
      <c r="I122">
        <f>VLOOKUP($A$4,'Fordeling netto driftsutg.'!$A$2:$U$36,12)</f>
        <v>3.7</v>
      </c>
      <c r="J122">
        <f>VLOOKUP($A$4,'Fordeling netto driftsutg.'!$A$2:$U$36,14)</f>
        <v>2.2000000000000002</v>
      </c>
      <c r="K122">
        <f>VLOOKUP($A$4,'Fordeling netto driftsutg.'!$A$2:$U$36,15)</f>
        <v>3</v>
      </c>
    </row>
    <row r="123" spans="1:12" x14ac:dyDescent="0.3">
      <c r="A123" t="str">
        <f>$B$6</f>
        <v>Kostragruppe 06</v>
      </c>
      <c r="B123">
        <f>VLOOKUP($A$6,'Fordeling netto driftsutg.'!$A$2:$U$36,3)</f>
        <v>14.6</v>
      </c>
      <c r="C123">
        <f>VLOOKUP($A$6,'Fordeling netto driftsutg.'!$A$2:$U$36,4)</f>
        <v>8</v>
      </c>
      <c r="D123">
        <f>VLOOKUP($A$6,'Fordeling netto driftsutg.'!$A$2:$U$36,5)</f>
        <v>22.2</v>
      </c>
      <c r="E123">
        <f>VLOOKUP($A$6,'Fordeling netto driftsutg.'!$A$2:$U$36,6)</f>
        <v>0</v>
      </c>
      <c r="F123">
        <f>VLOOKUP($A$6,'Fordeling netto driftsutg.'!$A$2:$U$36,7)</f>
        <v>43.8</v>
      </c>
      <c r="G123">
        <f>VLOOKUP($A$6,'Fordeling netto driftsutg.'!$A$2:$U$36,8)</f>
        <v>2.8</v>
      </c>
      <c r="H123">
        <f>VLOOKUP($A$6,'Fordeling netto driftsutg.'!$A$2:$U$36,9)</f>
        <v>3.2</v>
      </c>
      <c r="I123">
        <f>VLOOKUP($A$6,'Fordeling netto driftsutg.'!$A$2:$U$36,12)</f>
        <v>3.9</v>
      </c>
      <c r="J123">
        <f>VLOOKUP($A$6,'Fordeling netto driftsutg.'!$A$2:$U$36,14)</f>
        <v>3</v>
      </c>
      <c r="K123">
        <f>VLOOKUP($A$6,'Fordeling netto driftsutg.'!$A$2:$U$36,15)</f>
        <v>1.7</v>
      </c>
    </row>
    <row r="126" spans="1:12" x14ac:dyDescent="0.3">
      <c r="B126" s="6" t="s">
        <v>228</v>
      </c>
    </row>
    <row r="127" spans="1:12" ht="86.4" x14ac:dyDescent="0.3">
      <c r="C127" s="68" t="str">
        <f>BHG!C2</f>
        <v>Andel barn 1-5 år med barnehageplass (prosent)</v>
      </c>
      <c r="D127" s="68" t="str">
        <f>BHG!D2</f>
        <v>Brutto driftsutgifter per barn i kommunal barnehage (kroner)</v>
      </c>
      <c r="E127" s="68" t="str">
        <f>BHG!E2</f>
        <v>Andel ansatte med barnehagelærerutdanning (prosent)</v>
      </c>
      <c r="F127" s="68" t="str">
        <f>BHG!F2</f>
        <v>Andel styrere og ped. ledere med godkjent barnehagelærerutdanning (prosent)</v>
      </c>
      <c r="G127" s="68" t="str">
        <f>BHG!G2</f>
        <v>Andel ansatte med annen pedagogisk utdanning (prosent)</v>
      </c>
      <c r="H127" s="14"/>
    </row>
    <row r="128" spans="1:12" x14ac:dyDescent="0.3">
      <c r="B128" t="str">
        <f>B3</f>
        <v>Storfjord</v>
      </c>
      <c r="C128" s="14">
        <f>VLOOKUP($A$3,BHG!$A$2:$E$36,3)</f>
        <v>92.5</v>
      </c>
      <c r="D128" s="103">
        <f>VLOOKUP($A$3,BHG!$A$2:$E$36,4)</f>
        <v>155938</v>
      </c>
      <c r="E128" s="14">
        <f>VLOOKUP($A$3,BHG!$A$2:$E$36,5)</f>
        <v>34.4</v>
      </c>
      <c r="F128" s="14">
        <f>VLOOKUP($A$3,BHG!$A$2:$G$36,6)</f>
        <v>100</v>
      </c>
      <c r="G128" s="14">
        <f>VLOOKUP($A$3,BHG!$A$2:$G$36,7)</f>
        <v>0</v>
      </c>
      <c r="H128" s="14"/>
    </row>
    <row r="129" spans="2:11" x14ac:dyDescent="0.3">
      <c r="B129" t="str">
        <f>B5</f>
        <v>Landet uten Oslo</v>
      </c>
      <c r="C129">
        <f>VLOOKUP($A$5,BHG!$A$2:$E$36,3)</f>
        <v>90.9</v>
      </c>
      <c r="D129">
        <f>VLOOKUP($A$5,BHG!$A$2:$E$36,4)</f>
        <v>174907</v>
      </c>
      <c r="E129">
        <f>VLOOKUP($A$5,BHG!$A$2:$E$36,5)</f>
        <v>35</v>
      </c>
      <c r="F129">
        <f>VLOOKUP($A$5,BHG!$A$2:$G$36,6)</f>
        <v>90.9</v>
      </c>
      <c r="G129">
        <f>VLOOKUP($A$5,BHG!$A$2:$G$36,7)</f>
        <v>4.3</v>
      </c>
    </row>
    <row r="130" spans="2:11" x14ac:dyDescent="0.3">
      <c r="B130" t="str">
        <f>B4</f>
        <v>Troms</v>
      </c>
      <c r="C130">
        <f>VLOOKUP($A$4,BHG!$A$2:$E$36,3)</f>
        <v>93.4</v>
      </c>
      <c r="D130">
        <f>VLOOKUP($A$4,BHG!$A$2:$E$36,4)</f>
        <v>178799</v>
      </c>
      <c r="E130">
        <f>VLOOKUP($A$4,BHG!$A$2:$E$36,5)</f>
        <v>34.9</v>
      </c>
      <c r="F130">
        <f>VLOOKUP($A$4,BHG!$A$2:$G$36,6)</f>
        <v>89.3</v>
      </c>
      <c r="G130">
        <f>VLOOKUP($A$4,BHG!$A$2:$G$36,7)</f>
        <v>5.2</v>
      </c>
    </row>
    <row r="131" spans="2:11" x14ac:dyDescent="0.3">
      <c r="B131" t="str">
        <f>B6</f>
        <v>Kostragruppe 06</v>
      </c>
      <c r="C131">
        <f>VLOOKUP($A$6,BHG!$A$2:$E$36,3)</f>
        <v>88.6</v>
      </c>
      <c r="D131">
        <f>VLOOKUP($A$6,BHG!$A$2:$E$36,4)</f>
        <v>180998</v>
      </c>
      <c r="E131">
        <f>VLOOKUP($A$6,BHG!$A$2:$E$36,5)</f>
        <v>30</v>
      </c>
      <c r="F131">
        <f>VLOOKUP($A$6,BHG!$A$2:$G$36,6)</f>
        <v>80.5</v>
      </c>
      <c r="G131">
        <f>VLOOKUP($A$6,BHG!$A$2:$G$36,7)</f>
        <v>6.5</v>
      </c>
    </row>
    <row r="134" spans="2:11" x14ac:dyDescent="0.3">
      <c r="B134" s="6" t="s">
        <v>229</v>
      </c>
    </row>
    <row r="135" spans="2:11" ht="57.6" x14ac:dyDescent="0.3">
      <c r="C135" s="68" t="str">
        <f>Grunnskole!C4</f>
        <v>Andel elever i grunnskolen med spesialundervisning (prosent)</v>
      </c>
      <c r="D135" s="68" t="str">
        <f>Grunnskole!D4</f>
        <v>Andel timer spes.und. av antall lærertimer totalt (prosent)</v>
      </c>
      <c r="E135" s="68" t="str">
        <f>Grunnskole!E4</f>
        <v>Brutto driftsutgifter  til grunnskolesektor, pr elev (kroner)</v>
      </c>
      <c r="F135" s="68" t="str">
        <f>Grunnskole!F4</f>
        <v>Gj.snittlig gruppestørrelse, 1.-10. årstrinn (antall elever)</v>
      </c>
      <c r="G135" s="68" t="str">
        <f>Grunnskole!G4</f>
        <v>Gjennomsnittlige grunnskolepoeng</v>
      </c>
      <c r="H135" s="68" t="str">
        <f>Grunnskole!H4</f>
        <v>Andel lærere over 50 år (prosent)</v>
      </c>
    </row>
    <row r="136" spans="2:11" x14ac:dyDescent="0.3">
      <c r="B136" t="str">
        <f>B3</f>
        <v>Storfjord</v>
      </c>
      <c r="C136">
        <f>VLOOKUP($A$3,Grunnskole!$A$4:$H$38,3)</f>
        <v>9.1999999999999993</v>
      </c>
      <c r="D136">
        <f>VLOOKUP($A$3,Grunnskole!$A$4:$H$38,4)</f>
        <v>19.7</v>
      </c>
      <c r="E136">
        <f>VLOOKUP($A$3,Grunnskole!$A$4:$H$38,5)</f>
        <v>138048</v>
      </c>
      <c r="F136">
        <f>VLOOKUP($A$3,Grunnskole!$A$4:$H$38,6)</f>
        <v>12</v>
      </c>
      <c r="G136">
        <f>VLOOKUP($A$3,Grunnskole!$A$4:$H$38,7)</f>
        <v>43</v>
      </c>
      <c r="H136">
        <f>VLOOKUP($A$3,Grunnskole!$A$4:$H$38,8)</f>
        <v>36.700000000000003</v>
      </c>
    </row>
    <row r="137" spans="2:11" x14ac:dyDescent="0.3">
      <c r="B137" t="str">
        <f>B5</f>
        <v>Landet uten Oslo</v>
      </c>
      <c r="C137">
        <f>VLOOKUP($A$5,Grunnskole!$A$4:$H$38,3)</f>
        <v>8.1</v>
      </c>
      <c r="D137">
        <f>VLOOKUP($A$5,Grunnskole!$A$4:$H$38,4)</f>
        <v>17.399999999999999</v>
      </c>
      <c r="E137">
        <f>VLOOKUP($A$5,Grunnskole!$A$4:$H$38,5)</f>
        <v>111825</v>
      </c>
      <c r="F137">
        <f>VLOOKUP($A$5,Grunnskole!$A$4:$H$38,6)</f>
        <v>13.6</v>
      </c>
      <c r="G137">
        <f>VLOOKUP($A$5,Grunnskole!$A$4:$H$38,7)</f>
        <v>40.299999999999997</v>
      </c>
      <c r="H137">
        <f>VLOOKUP($A$5,Grunnskole!$A$4:$H$38,8)</f>
        <v>32.700000000000003</v>
      </c>
    </row>
    <row r="138" spans="2:11" x14ac:dyDescent="0.3">
      <c r="B138" t="str">
        <f>B4</f>
        <v>Troms</v>
      </c>
      <c r="C138">
        <f>VLOOKUP($A$4,Grunnskole!$A$4:$H$38,3)</f>
        <v>8.8000000000000007</v>
      </c>
      <c r="D138">
        <f>VLOOKUP($A$4,Grunnskole!$A$4:$H$38,4)</f>
        <v>21</v>
      </c>
      <c r="E138">
        <f>VLOOKUP($A$4,Grunnskole!$A$4:$H$38,5)</f>
        <v>121727</v>
      </c>
      <c r="F138">
        <f>VLOOKUP($A$4,Grunnskole!$A$4:$H$38,6)</f>
        <v>12</v>
      </c>
      <c r="G138">
        <f>VLOOKUP($A$4,Grunnskole!$A$4:$H$38,7)</f>
        <v>40.299999999999997</v>
      </c>
      <c r="H138">
        <f>VLOOKUP($A$4,Grunnskole!$A$4:$H$38,8)</f>
        <v>34.1</v>
      </c>
    </row>
    <row r="139" spans="2:11" x14ac:dyDescent="0.3">
      <c r="B139" t="str">
        <f>B6</f>
        <v>Kostragruppe 06</v>
      </c>
      <c r="C139">
        <f>VLOOKUP($A$6,Grunnskole!$A$4:$H$38,3)</f>
        <v>10.4</v>
      </c>
      <c r="D139">
        <f>VLOOKUP($A$6,Grunnskole!$A$4:$H$38,4)</f>
        <v>18.899999999999999</v>
      </c>
      <c r="E139">
        <f>VLOOKUP($A$6,Grunnskole!$A$4:$H$38,5)</f>
        <v>162355</v>
      </c>
      <c r="F139">
        <f>VLOOKUP($A$6,Grunnskole!$A$4:$H$38,6)</f>
        <v>8.6999999999999993</v>
      </c>
      <c r="G139" t="str">
        <f>VLOOKUP($A$6,Grunnskole!$A$4:$H$38,7)</f>
        <v>..</v>
      </c>
      <c r="H139">
        <f>VLOOKUP($A$6,Grunnskole!$A$4:$H$38,8)</f>
        <v>37.5</v>
      </c>
    </row>
    <row r="142" spans="2:11" x14ac:dyDescent="0.3">
      <c r="B142" s="6" t="s">
        <v>230</v>
      </c>
    </row>
    <row r="143" spans="2:11" ht="129.6" x14ac:dyDescent="0.3">
      <c r="C143" s="68" t="str">
        <f>'Pleie og omsorg'!C2</f>
        <v xml:space="preserve">Mottakere av hjemmetjenester, pr. 1000 innb. 0-66 år (antall) </v>
      </c>
      <c r="D143" s="68" t="str">
        <f>'Pleie og omsorg'!D2</f>
        <v>Mottakere av hjemmetjenester, pr. 1000 innb. 67 år og over (antall)</v>
      </c>
      <c r="E143" s="68" t="str">
        <f>'Pleie og omsorg'!E2</f>
        <v>Brutto driftsutg pr. mottaker av hjemmetjenester (kroner)</v>
      </c>
      <c r="F143" s="68" t="str">
        <f>'Pleie og omsorg'!F2</f>
        <v>Andel hjemmeboere med høy timeinnsats (prosent)</v>
      </c>
      <c r="G143" s="68" t="str">
        <f>'Pleie og omsorg'!G2</f>
        <v>Andel beboere i bolig m/ heldøgns bemanning ift. beboere i bolig til PLO-formål (prosent)</v>
      </c>
      <c r="H143" s="68" t="str">
        <f>'Pleie og omsorg'!H2</f>
        <v>Plasser i institusjon i prosent av innbyggere 80 år over (prosent)</v>
      </c>
      <c r="I143" s="68" t="str">
        <f>'Pleie og omsorg'!I2</f>
        <v>Andel beboere 80 år og over i institusjoner (prosent)</v>
      </c>
      <c r="J143" s="68" t="str">
        <f>'Pleie og omsorg'!J2</f>
        <v>Andel plasser i skjermet enhet for personer med demens (prosent)</v>
      </c>
      <c r="K143" s="68" t="str">
        <f>'Pleie og omsorg'!K2</f>
        <v>Korrigerte brutto driftsutgifter, institusjon, pr. kommunal plass (kroner)</v>
      </c>
    </row>
    <row r="144" spans="2:11" x14ac:dyDescent="0.3">
      <c r="B144" t="str">
        <f>B3</f>
        <v>Storfjord</v>
      </c>
      <c r="C144">
        <f>VLOOKUP($A$3,'Pleie og omsorg'!$A$2:$K$36,3)</f>
        <v>28</v>
      </c>
      <c r="D144">
        <f>VLOOKUP($A$3,'Pleie og omsorg'!$A$2:$K$36,4)</f>
        <v>123.7785016286645</v>
      </c>
      <c r="E144">
        <f>VLOOKUP($A$3,'Pleie og omsorg'!$A$2:$K$36,5)</f>
        <v>296829</v>
      </c>
      <c r="F144">
        <f>VLOOKUP($A$3,'Pleie og omsorg'!$A$2:$K$36,6)</f>
        <v>11</v>
      </c>
      <c r="G144" t="str">
        <f>VLOOKUP($A$3,'Pleie og omsorg'!$A$2:$K$36,7)</f>
        <v>..</v>
      </c>
      <c r="H144">
        <f>VLOOKUP($A$3,'Pleie og omsorg'!$A$2:$K$36,8)</f>
        <v>23.9</v>
      </c>
      <c r="I144">
        <f>VLOOKUP($A$3,'Pleie og omsorg'!$A$2:$K$36,9)</f>
        <v>19.7</v>
      </c>
      <c r="J144">
        <f>VLOOKUP($A$3,'Pleie og omsorg'!$A$2:$K$36,10)</f>
        <v>35.299999999999997</v>
      </c>
      <c r="K144" s="18">
        <f>VLOOKUP($A$3,'Pleie og omsorg'!$A$2:$K$36,11)</f>
        <v>886591</v>
      </c>
    </row>
    <row r="145" spans="2:11" x14ac:dyDescent="0.3">
      <c r="B145" t="str">
        <f>B5</f>
        <v>Landet uten Oslo</v>
      </c>
      <c r="C145">
        <f>VLOOKUP($A$5,'Pleie og omsorg'!$A$2:$K$36,3)</f>
        <v>20</v>
      </c>
      <c r="D145">
        <f>VLOOKUP($A$5,'Pleie og omsorg'!$A$2:$K$36,4)</f>
        <v>149.31479017501837</v>
      </c>
      <c r="E145">
        <f>VLOOKUP($A$5,'Pleie og omsorg'!$A$2:$K$36,5)</f>
        <v>239788</v>
      </c>
      <c r="F145">
        <f>VLOOKUP($A$5,'Pleie og omsorg'!$A$2:$K$36,6)</f>
        <v>6.9</v>
      </c>
      <c r="G145">
        <f>VLOOKUP($A$5,'Pleie og omsorg'!$A$2:$K$36,7)</f>
        <v>50.5</v>
      </c>
      <c r="H145">
        <f>VLOOKUP($A$5,'Pleie og omsorg'!$A$2:$K$36,8)</f>
        <v>18.399999999999999</v>
      </c>
      <c r="I145">
        <f>VLOOKUP($A$5,'Pleie og omsorg'!$A$2:$K$36,9)</f>
        <v>13.4</v>
      </c>
      <c r="J145">
        <f>VLOOKUP($A$5,'Pleie og omsorg'!$A$2:$K$36,10)</f>
        <v>24.5</v>
      </c>
      <c r="K145" s="18">
        <f>VLOOKUP($A$5,'Pleie og omsorg'!$A$2:$K$36,11)</f>
        <v>1039336</v>
      </c>
    </row>
    <row r="146" spans="2:11" x14ac:dyDescent="0.3">
      <c r="B146" t="str">
        <f>B4</f>
        <v>Troms</v>
      </c>
      <c r="C146">
        <f>VLOOKUP($A$4,'Pleie og omsorg'!$A$2:$K$36,3)</f>
        <v>20</v>
      </c>
      <c r="D146">
        <f>VLOOKUP($A$4,'Pleie og omsorg'!$A$2:$K$36,4)</f>
        <v>163.21878628876178</v>
      </c>
      <c r="E146">
        <f>VLOOKUP($A$4,'Pleie og omsorg'!$A$2:$K$36,5)</f>
        <v>257132</v>
      </c>
      <c r="F146">
        <f>VLOOKUP($A$4,'Pleie og omsorg'!$A$2:$K$36,6)</f>
        <v>8</v>
      </c>
      <c r="G146">
        <f>VLOOKUP($A$4,'Pleie og omsorg'!$A$2:$K$36,7)</f>
        <v>59.8</v>
      </c>
      <c r="H146">
        <f>VLOOKUP($A$4,'Pleie og omsorg'!$A$2:$K$36,8)</f>
        <v>22</v>
      </c>
      <c r="I146">
        <f>VLOOKUP($A$4,'Pleie og omsorg'!$A$2:$K$36,9)</f>
        <v>15.9</v>
      </c>
      <c r="J146">
        <f>VLOOKUP($A$4,'Pleie og omsorg'!$A$2:$K$36,10)</f>
        <v>26.5</v>
      </c>
      <c r="K146" s="18">
        <f>VLOOKUP($A$4,'Pleie og omsorg'!$A$2:$K$36,11)</f>
        <v>1057287</v>
      </c>
    </row>
    <row r="147" spans="2:11" x14ac:dyDescent="0.3">
      <c r="B147" t="str">
        <f>B6</f>
        <v>Kostragruppe 06</v>
      </c>
      <c r="C147">
        <f>VLOOKUP($A$6,'Pleie og omsorg'!$A$2:$K$36,3)</f>
        <v>30</v>
      </c>
      <c r="D147">
        <f>VLOOKUP($A$6,'Pleie og omsorg'!$A$2:$K$36,4)</f>
        <v>198.90015238852448</v>
      </c>
      <c r="E147">
        <f>VLOOKUP($A$6,'Pleie og omsorg'!$A$2:$K$36,5)</f>
        <v>225929</v>
      </c>
      <c r="F147">
        <f>VLOOKUP($A$6,'Pleie og omsorg'!$A$2:$K$36,6)</f>
        <v>6.8</v>
      </c>
      <c r="G147">
        <f>VLOOKUP($A$6,'Pleie og omsorg'!$A$2:$K$36,7)</f>
        <v>57.7</v>
      </c>
      <c r="H147">
        <f>VLOOKUP($A$6,'Pleie og omsorg'!$A$2:$K$36,8)</f>
        <v>25.4</v>
      </c>
      <c r="I147">
        <f>VLOOKUP($A$6,'Pleie og omsorg'!$A$2:$K$36,9)</f>
        <v>17.5</v>
      </c>
      <c r="J147">
        <f>VLOOKUP($A$6,'Pleie og omsorg'!$A$2:$K$36,10)</f>
        <v>22.7</v>
      </c>
      <c r="K147" s="18">
        <f>VLOOKUP($A$6,'Pleie og omsorg'!$A$2:$K$36,11)</f>
        <v>1070001</v>
      </c>
    </row>
    <row r="150" spans="2:11" x14ac:dyDescent="0.3">
      <c r="B150" s="6" t="s">
        <v>232</v>
      </c>
    </row>
    <row r="151" spans="2:11" ht="72" x14ac:dyDescent="0.3">
      <c r="C151" s="68" t="str">
        <f>Barnevern!C3</f>
        <v>Andel barn med undersøkelse ift. antall innbyggere 0-17 år (prosent)</v>
      </c>
      <c r="D151" s="68" t="str">
        <f>Barnevern!D3</f>
        <v>Andel barn med barnevernstiltak ift. innbyggere 0-17 år (prosent)</v>
      </c>
      <c r="E151" s="68" t="str">
        <f>Barnevern!E3</f>
        <v>Brutto driftsutgifter per barn med undersøkelse/ tiltak (kroner)</v>
      </c>
      <c r="F151" s="68" t="str">
        <f>Barnevern!F3</f>
        <v>Andel undersøkelser med beh.tid over 3 mnd.(prosent)</v>
      </c>
      <c r="G151" s="81" t="s">
        <v>387</v>
      </c>
    </row>
    <row r="152" spans="2:11" x14ac:dyDescent="0.3">
      <c r="B152" t="str">
        <f>B3</f>
        <v>Storfjord</v>
      </c>
      <c r="C152">
        <f>VLOOKUP($A$3,Barnevern!$A$3:$F$37,3)</f>
        <v>6.5</v>
      </c>
      <c r="D152">
        <f>VLOOKUP($A$3,Barnevern!$A$3:$F$37,4)</f>
        <v>8.1</v>
      </c>
      <c r="E152">
        <f>VLOOKUP($A$3,Barnevern!$A$3:$F$37,5)</f>
        <v>58838</v>
      </c>
      <c r="F152" s="19">
        <f>VLOOKUP($A$3,Barnevern!$A$3:$F$38,6)</f>
        <v>29.629629629629626</v>
      </c>
      <c r="G152" s="19">
        <f>VLOOKUP($A$3,Barnevern!$A$3:G38,7)</f>
        <v>8.1</v>
      </c>
    </row>
    <row r="153" spans="2:11" x14ac:dyDescent="0.3">
      <c r="B153" t="str">
        <f>B5</f>
        <v>Landet uten Oslo</v>
      </c>
      <c r="C153">
        <f>VLOOKUP($A$5,Barnevern!$A$3:$F$37,3)</f>
        <v>4.3</v>
      </c>
      <c r="D153">
        <f>VLOOKUP($A$5,Barnevern!$A$3:$F$37,4)</f>
        <v>4.8</v>
      </c>
      <c r="E153">
        <f>VLOOKUP($A$5,Barnevern!$A$3:$F$37,5)</f>
        <v>43806</v>
      </c>
      <c r="F153">
        <f>VLOOKUP($A$5,Barnevern!$A$3:$F$38,6)</f>
        <v>17.399999999999999</v>
      </c>
      <c r="G153" s="76">
        <f>VLOOKUP($A$5,Barnevern!$A$3:$G$38,7)</f>
        <v>4.0999999999999996</v>
      </c>
    </row>
    <row r="154" spans="2:11" x14ac:dyDescent="0.3">
      <c r="B154" t="str">
        <f>B4</f>
        <v>Troms</v>
      </c>
      <c r="C154">
        <f>VLOOKUP($A$4,Barnevern!$A$3:$F$37,3)</f>
        <v>5</v>
      </c>
      <c r="D154">
        <f>VLOOKUP($A$4,Barnevern!$A$3:$F$37,4)</f>
        <v>5.8</v>
      </c>
      <c r="E154">
        <f>VLOOKUP($A$4,Barnevern!$A$3:$F$37,5)</f>
        <v>46629</v>
      </c>
      <c r="F154">
        <f>VLOOKUP($A$4,Barnevern!$A$3:$F$38,6)</f>
        <v>29.5</v>
      </c>
      <c r="G154" s="76">
        <f>VLOOKUP($A$4,Barnevern!$A$3:$G$38,7)</f>
        <v>5.4</v>
      </c>
    </row>
    <row r="155" spans="2:11" x14ac:dyDescent="0.3">
      <c r="B155" t="str">
        <f>B6</f>
        <v>Kostragruppe 06</v>
      </c>
      <c r="C155" t="str">
        <f>VLOOKUP($A$6,Barnevern!$A$5:$F$37,3)</f>
        <v>:</v>
      </c>
      <c r="D155" t="str">
        <f>VLOOKUP($A$6,Barnevern!$A$5:$F$37,4)</f>
        <v>:</v>
      </c>
      <c r="E155" t="str">
        <f>VLOOKUP($A$6,Barnevern!$A$5:$F$37,5)</f>
        <v>:</v>
      </c>
      <c r="F155" t="str">
        <f>VLOOKUP($A$6,Barnevern!$A$3:$F$38,6)</f>
        <v>:</v>
      </c>
      <c r="G155" s="76">
        <f>VLOOKUP($A$6,Barnevern!$A$3:$G$38,7)</f>
        <v>6.4</v>
      </c>
    </row>
    <row r="158" spans="2:11" x14ac:dyDescent="0.3">
      <c r="B158" s="6" t="s">
        <v>231</v>
      </c>
    </row>
    <row r="159" spans="2:11" ht="72" x14ac:dyDescent="0.3">
      <c r="C159" s="68" t="str">
        <f>Sosialtj.!C3</f>
        <v>Andel sosialhjelpsmottakere ift. innbyggere 20-66 år (prosent)</v>
      </c>
      <c r="D159" s="68" t="str">
        <f>Sosialtj.!D3</f>
        <v>Brutto driftsutgifter til sosialtjenesten pr. mottaker (kroner)</v>
      </c>
      <c r="E159" s="68" t="str">
        <f>Sosialtj.!E3</f>
        <v>Andel sosialhjelpsmottakere med stønad i 6 mnd. eller mer (prosent)</v>
      </c>
      <c r="F159" s="68" t="str">
        <f>Sosialtj.!F3</f>
        <v>Andel mottakere med sosialhjelp som hovedinntektskilde (prosent)</v>
      </c>
      <c r="G159" s="6"/>
    </row>
    <row r="160" spans="2:11" x14ac:dyDescent="0.3">
      <c r="B160" t="str">
        <f>B3</f>
        <v>Storfjord</v>
      </c>
      <c r="C160">
        <f>VLOOKUP($A$3,Sosialtj.!$A$2:$F$37,3)</f>
        <v>3.5</v>
      </c>
      <c r="D160">
        <f>VLOOKUP($A$3,Sosialtj.!$A$2:$F$37,4)</f>
        <v>45386</v>
      </c>
      <c r="E160">
        <f>VLOOKUP($A$3,Sosialtj.!$A$2:$F$37,5)</f>
        <v>13.636363636363635</v>
      </c>
      <c r="F160">
        <f>VLOOKUP($A$3,Sosialtj.!$A$2:$F$37,6)</f>
        <v>43.2</v>
      </c>
    </row>
    <row r="161" spans="2:6" x14ac:dyDescent="0.3">
      <c r="B161" t="str">
        <f>B5</f>
        <v>Landet uten Oslo</v>
      </c>
      <c r="C161">
        <f>VLOOKUP($A$5,Sosialtj.!$A$2:$F$37,3)</f>
        <v>3.9</v>
      </c>
      <c r="D161">
        <f>VLOOKUP($A$5,Sosialtj.!$A$2:$F$37,4)</f>
        <v>40312</v>
      </c>
      <c r="E161">
        <f>VLOOKUP($A$5,Sosialtj.!$A$2:$F$37,5)</f>
        <v>33.799999999999997</v>
      </c>
      <c r="F161">
        <f>VLOOKUP($A$5,Sosialtj.!$A$2:$F$37,6)</f>
        <v>45.5</v>
      </c>
    </row>
    <row r="162" spans="2:6" x14ac:dyDescent="0.3">
      <c r="B162" t="str">
        <f>B4</f>
        <v>Troms</v>
      </c>
      <c r="C162">
        <f>VLOOKUP($A$4,Sosialtj.!$A$2:$F$37,3)</f>
        <v>3.7</v>
      </c>
      <c r="D162">
        <f>VLOOKUP($A$4,Sosialtj.!$A$2:$F$37,4)</f>
        <v>33332</v>
      </c>
      <c r="E162">
        <f>VLOOKUP($A$4,Sosialtj.!$A$2:$F$37,5)</f>
        <v>25.9</v>
      </c>
      <c r="F162">
        <f>VLOOKUP($A$4,Sosialtj.!$A$2:$F$37,6)</f>
        <v>47.1</v>
      </c>
    </row>
    <row r="163" spans="2:6" x14ac:dyDescent="0.3">
      <c r="B163" t="str">
        <f>B6</f>
        <v>Kostragruppe 06</v>
      </c>
      <c r="C163" t="str">
        <f>VLOOKUP($A$6,Sosialtj.!$A$2:$F$37,3)</f>
        <v>:</v>
      </c>
      <c r="D163" t="str">
        <f>VLOOKUP($A$6,Sosialtj.!$A$2:$F$37,4)</f>
        <v>:</v>
      </c>
      <c r="E163" t="str">
        <f>VLOOKUP($A$6,Sosialtj.!$A$2:$F$37,5)</f>
        <v>:</v>
      </c>
      <c r="F163" t="str">
        <f>VLOOKUP($A$6,Sosialtj.!$A$2:$F$37,6)</f>
        <v>:</v>
      </c>
    </row>
  </sheetData>
  <pageMargins left="0.7" right="0.7" top="0.75" bottom="0.75" header="0.3" footer="0.3"/>
  <pageSetup paperSize="9" scale="41"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pageSetUpPr fitToPage="1"/>
  </sheetPr>
  <dimension ref="A1:I103"/>
  <sheetViews>
    <sheetView topLeftCell="A68" workbookViewId="0">
      <selection activeCell="F101" sqref="F101"/>
    </sheetView>
  </sheetViews>
  <sheetFormatPr baseColWidth="10" defaultRowHeight="14.4" x14ac:dyDescent="0.3"/>
  <cols>
    <col min="1" max="3" width="19" customWidth="1"/>
    <col min="4" max="4" width="10" style="76" customWidth="1"/>
    <col min="5" max="5" width="10.88671875" style="76" customWidth="1"/>
    <col min="233" max="234" width="19" customWidth="1"/>
    <col min="489" max="490" width="19" customWidth="1"/>
    <col min="745" max="746" width="19" customWidth="1"/>
    <col min="1001" max="1002" width="19" customWidth="1"/>
    <col min="1257" max="1258" width="19" customWidth="1"/>
    <col min="1513" max="1514" width="19" customWidth="1"/>
    <col min="1769" max="1770" width="19" customWidth="1"/>
    <col min="2025" max="2026" width="19" customWidth="1"/>
    <col min="2281" max="2282" width="19" customWidth="1"/>
    <col min="2537" max="2538" width="19" customWidth="1"/>
    <col min="2793" max="2794" width="19" customWidth="1"/>
    <col min="3049" max="3050" width="19" customWidth="1"/>
    <col min="3305" max="3306" width="19" customWidth="1"/>
    <col min="3561" max="3562" width="19" customWidth="1"/>
    <col min="3817" max="3818" width="19" customWidth="1"/>
    <col min="4073" max="4074" width="19" customWidth="1"/>
    <col min="4329" max="4330" width="19" customWidth="1"/>
    <col min="4585" max="4586" width="19" customWidth="1"/>
    <col min="4841" max="4842" width="19" customWidth="1"/>
    <col min="5097" max="5098" width="19" customWidth="1"/>
    <col min="5353" max="5354" width="19" customWidth="1"/>
    <col min="5609" max="5610" width="19" customWidth="1"/>
    <col min="5865" max="5866" width="19" customWidth="1"/>
    <col min="6121" max="6122" width="19" customWidth="1"/>
    <col min="6377" max="6378" width="19" customWidth="1"/>
    <col min="6633" max="6634" width="19" customWidth="1"/>
    <col min="6889" max="6890" width="19" customWidth="1"/>
    <col min="7145" max="7146" width="19" customWidth="1"/>
    <col min="7401" max="7402" width="19" customWidth="1"/>
    <col min="7657" max="7658" width="19" customWidth="1"/>
    <col min="7913" max="7914" width="19" customWidth="1"/>
    <col min="8169" max="8170" width="19" customWidth="1"/>
    <col min="8425" max="8426" width="19" customWidth="1"/>
    <col min="8681" max="8682" width="19" customWidth="1"/>
    <col min="8937" max="8938" width="19" customWidth="1"/>
    <col min="9193" max="9194" width="19" customWidth="1"/>
    <col min="9449" max="9450" width="19" customWidth="1"/>
    <col min="9705" max="9706" width="19" customWidth="1"/>
    <col min="9961" max="9962" width="19" customWidth="1"/>
    <col min="10217" max="10218" width="19" customWidth="1"/>
    <col min="10473" max="10474" width="19" customWidth="1"/>
    <col min="10729" max="10730" width="19" customWidth="1"/>
    <col min="10985" max="10986" width="19" customWidth="1"/>
    <col min="11241" max="11242" width="19" customWidth="1"/>
    <col min="11497" max="11498" width="19" customWidth="1"/>
    <col min="11753" max="11754" width="19" customWidth="1"/>
    <col min="12009" max="12010" width="19" customWidth="1"/>
    <col min="12265" max="12266" width="19" customWidth="1"/>
    <col min="12521" max="12522" width="19" customWidth="1"/>
    <col min="12777" max="12778" width="19" customWidth="1"/>
    <col min="13033" max="13034" width="19" customWidth="1"/>
    <col min="13289" max="13290" width="19" customWidth="1"/>
    <col min="13545" max="13546" width="19" customWidth="1"/>
    <col min="13801" max="13802" width="19" customWidth="1"/>
    <col min="14057" max="14058" width="19" customWidth="1"/>
    <col min="14313" max="14314" width="19" customWidth="1"/>
    <col min="14569" max="14570" width="19" customWidth="1"/>
    <col min="14825" max="14826" width="19" customWidth="1"/>
    <col min="15081" max="15082" width="19" customWidth="1"/>
    <col min="15337" max="15338" width="19" customWidth="1"/>
    <col min="15593" max="15594" width="19" customWidth="1"/>
    <col min="15849" max="15850" width="19" customWidth="1"/>
    <col min="16105" max="16106" width="19" customWidth="1"/>
  </cols>
  <sheetData>
    <row r="1" spans="1:9" x14ac:dyDescent="0.3">
      <c r="A1" s="7" t="s">
        <v>183</v>
      </c>
      <c r="B1" s="7"/>
      <c r="F1" s="65" t="s">
        <v>270</v>
      </c>
      <c r="G1" s="65" t="s">
        <v>264</v>
      </c>
    </row>
    <row r="2" spans="1:9" x14ac:dyDescent="0.3">
      <c r="A2" s="7" t="s">
        <v>187</v>
      </c>
    </row>
    <row r="3" spans="1:9" x14ac:dyDescent="0.3">
      <c r="F3" s="75" t="s">
        <v>276</v>
      </c>
    </row>
    <row r="4" spans="1:9" x14ac:dyDescent="0.3">
      <c r="A4" s="111" t="s">
        <v>96</v>
      </c>
      <c r="B4" s="111" t="s">
        <v>97</v>
      </c>
      <c r="C4" s="111" t="s">
        <v>192</v>
      </c>
      <c r="D4" s="111">
        <v>1990</v>
      </c>
      <c r="E4" s="111">
        <v>2000</v>
      </c>
      <c r="F4" s="112">
        <v>2015</v>
      </c>
      <c r="G4" s="112" t="s">
        <v>184</v>
      </c>
      <c r="H4" s="112" t="s">
        <v>185</v>
      </c>
      <c r="I4" s="112" t="s">
        <v>186</v>
      </c>
    </row>
    <row r="5" spans="1:9" x14ac:dyDescent="0.3">
      <c r="A5" s="113">
        <v>1902</v>
      </c>
      <c r="B5" s="113" t="s">
        <v>10</v>
      </c>
      <c r="C5" s="113" t="s">
        <v>188</v>
      </c>
      <c r="D5" s="114">
        <v>4497</v>
      </c>
      <c r="E5" s="114">
        <v>5566</v>
      </c>
      <c r="F5" s="114">
        <v>5369</v>
      </c>
      <c r="G5" s="114">
        <v>5547</v>
      </c>
      <c r="H5" s="114">
        <v>5843</v>
      </c>
      <c r="I5" s="114">
        <v>5665</v>
      </c>
    </row>
    <row r="6" spans="1:9" x14ac:dyDescent="0.3">
      <c r="A6" s="113">
        <v>1903</v>
      </c>
      <c r="B6" s="115" t="s">
        <v>6</v>
      </c>
      <c r="C6" s="115" t="s">
        <v>188</v>
      </c>
      <c r="D6" s="114">
        <v>1880</v>
      </c>
      <c r="E6" s="114">
        <v>1882</v>
      </c>
      <c r="F6" s="114">
        <v>1694</v>
      </c>
      <c r="G6" s="114">
        <v>1787</v>
      </c>
      <c r="H6" s="114">
        <v>1853</v>
      </c>
      <c r="I6" s="114">
        <v>1803</v>
      </c>
    </row>
    <row r="7" spans="1:9" x14ac:dyDescent="0.3">
      <c r="A7" s="113">
        <v>1911</v>
      </c>
      <c r="B7" s="113" t="s">
        <v>14</v>
      </c>
      <c r="C7" s="113" t="s">
        <v>188</v>
      </c>
      <c r="D7" s="114">
        <v>236</v>
      </c>
      <c r="E7" s="114">
        <v>259</v>
      </c>
      <c r="F7" s="114">
        <v>206</v>
      </c>
      <c r="G7" s="114">
        <v>234</v>
      </c>
      <c r="H7" s="114">
        <v>246</v>
      </c>
      <c r="I7" s="114">
        <v>236</v>
      </c>
    </row>
    <row r="8" spans="1:9" x14ac:dyDescent="0.3">
      <c r="A8" s="113">
        <v>1913</v>
      </c>
      <c r="B8" s="113" t="s">
        <v>18</v>
      </c>
      <c r="C8" s="113" t="s">
        <v>188</v>
      </c>
      <c r="D8" s="114">
        <v>253</v>
      </c>
      <c r="E8" s="114">
        <v>174</v>
      </c>
      <c r="F8" s="114">
        <v>184</v>
      </c>
      <c r="G8" s="114">
        <v>175</v>
      </c>
      <c r="H8" s="114">
        <v>182</v>
      </c>
      <c r="I8" s="114">
        <v>190</v>
      </c>
    </row>
    <row r="9" spans="1:9" x14ac:dyDescent="0.3">
      <c r="A9" s="113">
        <v>1917</v>
      </c>
      <c r="B9" s="113" t="s">
        <v>21</v>
      </c>
      <c r="C9" s="113" t="s">
        <v>188</v>
      </c>
      <c r="D9" s="114">
        <v>122</v>
      </c>
      <c r="E9" s="114">
        <v>93</v>
      </c>
      <c r="F9" s="114">
        <v>68</v>
      </c>
      <c r="G9" s="114">
        <v>84</v>
      </c>
      <c r="H9" s="114">
        <v>90</v>
      </c>
      <c r="I9" s="114">
        <v>92</v>
      </c>
    </row>
    <row r="10" spans="1:9" x14ac:dyDescent="0.3">
      <c r="A10" s="113">
        <v>1919</v>
      </c>
      <c r="B10" s="113" t="s">
        <v>24</v>
      </c>
      <c r="C10" s="113" t="s">
        <v>188</v>
      </c>
      <c r="D10" s="114">
        <v>95</v>
      </c>
      <c r="E10" s="114">
        <v>84</v>
      </c>
      <c r="F10" s="114">
        <v>52</v>
      </c>
      <c r="G10" s="114">
        <v>57</v>
      </c>
      <c r="H10" s="114">
        <v>60</v>
      </c>
      <c r="I10" s="114">
        <v>60</v>
      </c>
    </row>
    <row r="11" spans="1:9" x14ac:dyDescent="0.3">
      <c r="A11" s="113">
        <v>1920</v>
      </c>
      <c r="B11" s="113" t="s">
        <v>27</v>
      </c>
      <c r="C11" s="113" t="s">
        <v>188</v>
      </c>
      <c r="D11" s="114">
        <v>69</v>
      </c>
      <c r="E11" s="114">
        <v>78</v>
      </c>
      <c r="F11" s="114">
        <v>71</v>
      </c>
      <c r="G11" s="114">
        <v>48</v>
      </c>
      <c r="H11" s="114">
        <v>48</v>
      </c>
      <c r="I11" s="114">
        <v>48</v>
      </c>
    </row>
    <row r="12" spans="1:9" x14ac:dyDescent="0.3">
      <c r="A12" s="113">
        <v>1922</v>
      </c>
      <c r="B12" s="113" t="s">
        <v>30</v>
      </c>
      <c r="C12" s="113" t="s">
        <v>188</v>
      </c>
      <c r="D12" s="114">
        <v>295</v>
      </c>
      <c r="E12" s="114">
        <v>335</v>
      </c>
      <c r="F12" s="114">
        <v>281</v>
      </c>
      <c r="G12" s="114">
        <v>268</v>
      </c>
      <c r="H12" s="114">
        <v>275</v>
      </c>
      <c r="I12" s="114">
        <v>258</v>
      </c>
    </row>
    <row r="13" spans="1:9" x14ac:dyDescent="0.3">
      <c r="A13" s="113">
        <v>1923</v>
      </c>
      <c r="B13" s="113" t="s">
        <v>34</v>
      </c>
      <c r="C13" s="113" t="s">
        <v>188</v>
      </c>
      <c r="D13" s="114">
        <v>177</v>
      </c>
      <c r="E13" s="114">
        <v>185</v>
      </c>
      <c r="F13" s="114">
        <v>121</v>
      </c>
      <c r="G13" s="114">
        <v>138</v>
      </c>
      <c r="H13" s="114">
        <v>144</v>
      </c>
      <c r="I13" s="114">
        <v>144</v>
      </c>
    </row>
    <row r="14" spans="1:9" x14ac:dyDescent="0.3">
      <c r="A14" s="113">
        <v>1924</v>
      </c>
      <c r="B14" s="113" t="s">
        <v>36</v>
      </c>
      <c r="C14" s="113" t="s">
        <v>188</v>
      </c>
      <c r="D14" s="114">
        <v>652</v>
      </c>
      <c r="E14" s="114">
        <v>640</v>
      </c>
      <c r="F14" s="114">
        <v>413</v>
      </c>
      <c r="G14" s="114">
        <v>477</v>
      </c>
      <c r="H14" s="114">
        <v>505</v>
      </c>
      <c r="I14" s="114">
        <v>488</v>
      </c>
    </row>
    <row r="15" spans="1:9" x14ac:dyDescent="0.3">
      <c r="A15" s="113">
        <v>1925</v>
      </c>
      <c r="B15" s="113" t="s">
        <v>39</v>
      </c>
      <c r="C15" s="113" t="s">
        <v>188</v>
      </c>
      <c r="D15" s="114">
        <v>266</v>
      </c>
      <c r="E15" s="114">
        <v>267</v>
      </c>
      <c r="F15" s="114">
        <v>219</v>
      </c>
      <c r="G15" s="114">
        <v>223</v>
      </c>
      <c r="H15" s="114">
        <v>239</v>
      </c>
      <c r="I15" s="114">
        <v>220</v>
      </c>
    </row>
    <row r="16" spans="1:9" x14ac:dyDescent="0.3">
      <c r="A16" s="113">
        <v>1926</v>
      </c>
      <c r="B16" s="113" t="s">
        <v>42</v>
      </c>
      <c r="C16" s="113" t="s">
        <v>188</v>
      </c>
      <c r="D16" s="114">
        <v>96</v>
      </c>
      <c r="E16" s="114">
        <v>80</v>
      </c>
      <c r="F16" s="114">
        <v>64</v>
      </c>
      <c r="G16" s="114">
        <v>50</v>
      </c>
      <c r="H16" s="114">
        <v>48</v>
      </c>
      <c r="I16" s="114">
        <v>46</v>
      </c>
    </row>
    <row r="17" spans="1:9" x14ac:dyDescent="0.3">
      <c r="A17" s="113">
        <v>1927</v>
      </c>
      <c r="B17" s="113" t="s">
        <v>45</v>
      </c>
      <c r="C17" s="113" t="s">
        <v>188</v>
      </c>
      <c r="D17" s="114">
        <v>126</v>
      </c>
      <c r="E17" s="114">
        <v>118</v>
      </c>
      <c r="F17" s="114">
        <v>89</v>
      </c>
      <c r="G17" s="114">
        <v>82</v>
      </c>
      <c r="H17" s="114">
        <v>85</v>
      </c>
      <c r="I17" s="114">
        <v>85</v>
      </c>
    </row>
    <row r="18" spans="1:9" x14ac:dyDescent="0.3">
      <c r="A18" s="113">
        <v>1928</v>
      </c>
      <c r="B18" s="113" t="s">
        <v>49</v>
      </c>
      <c r="C18" s="113" t="s">
        <v>188</v>
      </c>
      <c r="D18" s="114">
        <v>107</v>
      </c>
      <c r="E18" s="114">
        <v>76</v>
      </c>
      <c r="F18" s="114">
        <v>37</v>
      </c>
      <c r="G18" s="114">
        <v>48</v>
      </c>
      <c r="H18" s="114">
        <v>47</v>
      </c>
      <c r="I18" s="114">
        <v>43</v>
      </c>
    </row>
    <row r="19" spans="1:9" x14ac:dyDescent="0.3">
      <c r="A19" s="113">
        <v>1929</v>
      </c>
      <c r="B19" s="113" t="s">
        <v>53</v>
      </c>
      <c r="C19" s="113" t="s">
        <v>188</v>
      </c>
      <c r="D19" s="114">
        <v>109</v>
      </c>
      <c r="E19" s="114">
        <v>82</v>
      </c>
      <c r="F19" s="114">
        <v>54</v>
      </c>
      <c r="G19" s="114">
        <v>60</v>
      </c>
      <c r="H19" s="114">
        <v>48</v>
      </c>
      <c r="I19" s="114">
        <v>48</v>
      </c>
    </row>
    <row r="20" spans="1:9" x14ac:dyDescent="0.3">
      <c r="A20" s="113">
        <v>1931</v>
      </c>
      <c r="B20" s="113" t="s">
        <v>56</v>
      </c>
      <c r="C20" s="113" t="s">
        <v>188</v>
      </c>
      <c r="D20" s="114">
        <v>804</v>
      </c>
      <c r="E20" s="114">
        <v>991</v>
      </c>
      <c r="F20" s="114">
        <v>831</v>
      </c>
      <c r="G20" s="114">
        <v>829</v>
      </c>
      <c r="H20" s="114">
        <v>894</v>
      </c>
      <c r="I20" s="114">
        <v>874</v>
      </c>
    </row>
    <row r="21" spans="1:9" x14ac:dyDescent="0.3">
      <c r="A21" s="113">
        <v>1933</v>
      </c>
      <c r="B21" s="113" t="s">
        <v>60</v>
      </c>
      <c r="C21" s="113" t="s">
        <v>188</v>
      </c>
      <c r="D21" s="114">
        <v>423</v>
      </c>
      <c r="E21" s="114">
        <v>444</v>
      </c>
      <c r="F21" s="114">
        <v>293</v>
      </c>
      <c r="G21" s="114">
        <v>335</v>
      </c>
      <c r="H21" s="114">
        <v>370</v>
      </c>
      <c r="I21" s="114">
        <v>353</v>
      </c>
    </row>
    <row r="22" spans="1:9" x14ac:dyDescent="0.3">
      <c r="A22" s="113">
        <v>1936</v>
      </c>
      <c r="B22" s="113" t="s">
        <v>62</v>
      </c>
      <c r="C22" s="113" t="s">
        <v>188</v>
      </c>
      <c r="D22" s="114">
        <v>219</v>
      </c>
      <c r="E22" s="114">
        <v>173</v>
      </c>
      <c r="F22" s="114">
        <v>112</v>
      </c>
      <c r="G22" s="114">
        <v>120</v>
      </c>
      <c r="H22" s="114">
        <v>110</v>
      </c>
      <c r="I22" s="114">
        <v>99</v>
      </c>
    </row>
    <row r="23" spans="1:9" x14ac:dyDescent="0.3">
      <c r="A23" s="113">
        <v>1938</v>
      </c>
      <c r="B23" s="113" t="s">
        <v>66</v>
      </c>
      <c r="C23" s="113" t="s">
        <v>188</v>
      </c>
      <c r="D23" s="114">
        <v>274</v>
      </c>
      <c r="E23" s="114">
        <v>243</v>
      </c>
      <c r="F23" s="114">
        <v>140</v>
      </c>
      <c r="G23" s="114">
        <v>147</v>
      </c>
      <c r="H23" s="114">
        <v>139</v>
      </c>
      <c r="I23" s="114">
        <v>129</v>
      </c>
    </row>
    <row r="24" spans="1:9" x14ac:dyDescent="0.3">
      <c r="A24" s="113">
        <v>1939</v>
      </c>
      <c r="B24" s="113" t="s">
        <v>70</v>
      </c>
      <c r="C24" s="113" t="s">
        <v>188</v>
      </c>
      <c r="D24" s="114">
        <v>123</v>
      </c>
      <c r="E24" s="114">
        <v>145</v>
      </c>
      <c r="F24" s="114">
        <v>117</v>
      </c>
      <c r="G24" s="114">
        <v>118</v>
      </c>
      <c r="H24" s="114">
        <v>117</v>
      </c>
      <c r="I24" s="114">
        <v>119</v>
      </c>
    </row>
    <row r="25" spans="1:9" x14ac:dyDescent="0.3">
      <c r="A25" s="113">
        <v>1940</v>
      </c>
      <c r="B25" s="113" t="s">
        <v>95</v>
      </c>
      <c r="C25" s="113" t="s">
        <v>188</v>
      </c>
      <c r="D25" s="114">
        <v>228</v>
      </c>
      <c r="E25" s="114">
        <v>175</v>
      </c>
      <c r="F25" s="114">
        <v>114</v>
      </c>
      <c r="G25" s="114">
        <v>134</v>
      </c>
      <c r="H25" s="114">
        <v>127</v>
      </c>
      <c r="I25" s="114">
        <v>111</v>
      </c>
    </row>
    <row r="26" spans="1:9" x14ac:dyDescent="0.3">
      <c r="A26" s="113">
        <v>1941</v>
      </c>
      <c r="B26" s="113" t="s">
        <v>77</v>
      </c>
      <c r="C26" s="113" t="s">
        <v>188</v>
      </c>
      <c r="D26" s="114">
        <v>242</v>
      </c>
      <c r="E26" s="114">
        <v>264</v>
      </c>
      <c r="F26" s="114">
        <v>166</v>
      </c>
      <c r="G26" s="114">
        <v>192</v>
      </c>
      <c r="H26" s="114">
        <v>205</v>
      </c>
      <c r="I26" s="114">
        <v>186</v>
      </c>
    </row>
    <row r="27" spans="1:9" x14ac:dyDescent="0.3">
      <c r="A27" s="113">
        <v>1942</v>
      </c>
      <c r="B27" s="113" t="s">
        <v>81</v>
      </c>
      <c r="C27" s="113" t="s">
        <v>188</v>
      </c>
      <c r="D27" s="114">
        <v>380</v>
      </c>
      <c r="E27" s="114">
        <v>387</v>
      </c>
      <c r="F27" s="114">
        <v>322</v>
      </c>
      <c r="G27" s="114">
        <v>343</v>
      </c>
      <c r="H27" s="114">
        <v>362</v>
      </c>
      <c r="I27" s="114">
        <v>372</v>
      </c>
    </row>
    <row r="28" spans="1:9" x14ac:dyDescent="0.3">
      <c r="A28" s="113">
        <v>1943</v>
      </c>
      <c r="B28" s="113" t="s">
        <v>84</v>
      </c>
      <c r="C28" s="113" t="s">
        <v>188</v>
      </c>
      <c r="D28" s="114">
        <v>105</v>
      </c>
      <c r="E28" s="114">
        <v>91</v>
      </c>
      <c r="F28" s="114">
        <v>60</v>
      </c>
      <c r="G28" s="114">
        <v>62</v>
      </c>
      <c r="H28" s="114">
        <v>66</v>
      </c>
      <c r="I28" s="114">
        <v>60</v>
      </c>
    </row>
    <row r="29" spans="1:9" x14ac:dyDescent="0.3">
      <c r="A29" s="113">
        <v>1902</v>
      </c>
      <c r="B29" s="113" t="s">
        <v>10</v>
      </c>
      <c r="C29" s="113" t="s">
        <v>189</v>
      </c>
      <c r="D29" s="114">
        <v>6262</v>
      </c>
      <c r="E29" s="114">
        <v>7922</v>
      </c>
      <c r="F29" s="114">
        <v>8658</v>
      </c>
      <c r="G29" s="114">
        <v>8886</v>
      </c>
      <c r="H29" s="114">
        <v>9053</v>
      </c>
      <c r="I29" s="114">
        <v>9224</v>
      </c>
    </row>
    <row r="30" spans="1:9" x14ac:dyDescent="0.3">
      <c r="A30" s="113">
        <v>1903</v>
      </c>
      <c r="B30" s="115" t="s">
        <v>6</v>
      </c>
      <c r="C30" s="115" t="s">
        <v>189</v>
      </c>
      <c r="D30" s="114">
        <v>3050</v>
      </c>
      <c r="E30" s="114">
        <v>3297</v>
      </c>
      <c r="F30" s="114">
        <v>2838</v>
      </c>
      <c r="G30" s="114">
        <v>2953</v>
      </c>
      <c r="H30" s="114">
        <v>3252</v>
      </c>
      <c r="I30" s="114">
        <v>3303</v>
      </c>
    </row>
    <row r="31" spans="1:9" x14ac:dyDescent="0.3">
      <c r="A31" s="113">
        <v>1911</v>
      </c>
      <c r="B31" s="113" t="s">
        <v>14</v>
      </c>
      <c r="C31" s="113" t="s">
        <v>189</v>
      </c>
      <c r="D31" s="114">
        <v>480</v>
      </c>
      <c r="E31" s="114">
        <v>480</v>
      </c>
      <c r="F31" s="114">
        <v>351</v>
      </c>
      <c r="G31" s="114">
        <v>385</v>
      </c>
      <c r="H31" s="114">
        <v>460</v>
      </c>
      <c r="I31" s="114">
        <v>457</v>
      </c>
    </row>
    <row r="32" spans="1:9" x14ac:dyDescent="0.3">
      <c r="A32" s="113">
        <v>1913</v>
      </c>
      <c r="B32" s="113" t="s">
        <v>18</v>
      </c>
      <c r="C32" s="113" t="s">
        <v>189</v>
      </c>
      <c r="D32" s="114">
        <v>557</v>
      </c>
      <c r="E32" s="114">
        <v>402</v>
      </c>
      <c r="F32" s="114">
        <v>318</v>
      </c>
      <c r="G32" s="114">
        <v>360</v>
      </c>
      <c r="H32" s="114">
        <v>347</v>
      </c>
      <c r="I32" s="114">
        <v>349</v>
      </c>
    </row>
    <row r="33" spans="1:9" x14ac:dyDescent="0.3">
      <c r="A33" s="113">
        <v>1917</v>
      </c>
      <c r="B33" s="113" t="s">
        <v>21</v>
      </c>
      <c r="C33" s="113" t="s">
        <v>189</v>
      </c>
      <c r="D33" s="114">
        <v>266</v>
      </c>
      <c r="E33" s="114">
        <v>177</v>
      </c>
      <c r="F33" s="114">
        <v>132</v>
      </c>
      <c r="G33" s="114">
        <v>145</v>
      </c>
      <c r="H33" s="114">
        <v>188</v>
      </c>
      <c r="I33" s="114">
        <v>186</v>
      </c>
    </row>
    <row r="34" spans="1:9" x14ac:dyDescent="0.3">
      <c r="A34" s="113">
        <v>1919</v>
      </c>
      <c r="B34" s="113" t="s">
        <v>24</v>
      </c>
      <c r="C34" s="113" t="s">
        <v>189</v>
      </c>
      <c r="D34" s="114">
        <v>178</v>
      </c>
      <c r="E34" s="114">
        <v>177</v>
      </c>
      <c r="F34" s="114">
        <v>127</v>
      </c>
      <c r="G34" s="114">
        <v>109</v>
      </c>
      <c r="H34" s="114">
        <v>100</v>
      </c>
      <c r="I34" s="114">
        <v>104</v>
      </c>
    </row>
    <row r="35" spans="1:9" x14ac:dyDescent="0.3">
      <c r="A35" s="113">
        <v>1920</v>
      </c>
      <c r="B35" s="113" t="s">
        <v>27</v>
      </c>
      <c r="C35" s="113" t="s">
        <v>189</v>
      </c>
      <c r="D35" s="114">
        <v>131</v>
      </c>
      <c r="E35" s="114">
        <v>122</v>
      </c>
      <c r="F35" s="114">
        <v>124</v>
      </c>
      <c r="G35" s="114">
        <v>124</v>
      </c>
      <c r="H35" s="114">
        <v>90</v>
      </c>
      <c r="I35" s="114">
        <v>80</v>
      </c>
    </row>
    <row r="36" spans="1:9" x14ac:dyDescent="0.3">
      <c r="A36" s="113">
        <v>1922</v>
      </c>
      <c r="B36" s="113" t="s">
        <v>30</v>
      </c>
      <c r="C36" s="113" t="s">
        <v>189</v>
      </c>
      <c r="D36" s="114">
        <v>538</v>
      </c>
      <c r="E36" s="114">
        <v>484</v>
      </c>
      <c r="F36" s="114">
        <v>485</v>
      </c>
      <c r="G36" s="114">
        <v>448</v>
      </c>
      <c r="H36" s="114">
        <v>421</v>
      </c>
      <c r="I36" s="114">
        <v>441</v>
      </c>
    </row>
    <row r="37" spans="1:9" x14ac:dyDescent="0.3">
      <c r="A37" s="113">
        <v>1923</v>
      </c>
      <c r="B37" s="113" t="s">
        <v>34</v>
      </c>
      <c r="C37" s="113" t="s">
        <v>189</v>
      </c>
      <c r="D37" s="114">
        <v>367</v>
      </c>
      <c r="E37" s="114">
        <v>285</v>
      </c>
      <c r="F37" s="114">
        <v>253</v>
      </c>
      <c r="G37" s="114">
        <v>268</v>
      </c>
      <c r="H37" s="114">
        <v>302</v>
      </c>
      <c r="I37" s="114">
        <v>289</v>
      </c>
    </row>
    <row r="38" spans="1:9" x14ac:dyDescent="0.3">
      <c r="A38" s="113">
        <v>1924</v>
      </c>
      <c r="B38" s="113" t="s">
        <v>36</v>
      </c>
      <c r="C38" s="113" t="s">
        <v>189</v>
      </c>
      <c r="D38" s="114">
        <v>890</v>
      </c>
      <c r="E38" s="114">
        <v>897</v>
      </c>
      <c r="F38" s="114">
        <v>761</v>
      </c>
      <c r="G38" s="114">
        <v>750</v>
      </c>
      <c r="H38" s="114">
        <v>852</v>
      </c>
      <c r="I38" s="114">
        <v>871</v>
      </c>
    </row>
    <row r="39" spans="1:9" x14ac:dyDescent="0.3">
      <c r="A39" s="113">
        <v>1925</v>
      </c>
      <c r="B39" s="113" t="s">
        <v>39</v>
      </c>
      <c r="C39" s="113" t="s">
        <v>189</v>
      </c>
      <c r="D39" s="114">
        <v>482</v>
      </c>
      <c r="E39" s="114">
        <v>457</v>
      </c>
      <c r="F39" s="114">
        <v>469</v>
      </c>
      <c r="G39" s="114">
        <v>431</v>
      </c>
      <c r="H39" s="114">
        <v>431</v>
      </c>
      <c r="I39" s="114">
        <v>441</v>
      </c>
    </row>
    <row r="40" spans="1:9" x14ac:dyDescent="0.3">
      <c r="A40" s="113">
        <v>1926</v>
      </c>
      <c r="B40" s="113" t="s">
        <v>42</v>
      </c>
      <c r="C40" s="113" t="s">
        <v>189</v>
      </c>
      <c r="D40" s="114">
        <v>181</v>
      </c>
      <c r="E40" s="114">
        <v>166</v>
      </c>
      <c r="F40" s="114">
        <v>115</v>
      </c>
      <c r="G40" s="114">
        <v>120</v>
      </c>
      <c r="H40" s="114">
        <v>98</v>
      </c>
      <c r="I40" s="114">
        <v>92</v>
      </c>
    </row>
    <row r="41" spans="1:9" x14ac:dyDescent="0.3">
      <c r="A41" s="113">
        <v>1927</v>
      </c>
      <c r="B41" s="113" t="s">
        <v>45</v>
      </c>
      <c r="C41" s="113" t="s">
        <v>189</v>
      </c>
      <c r="D41" s="114">
        <v>256</v>
      </c>
      <c r="E41" s="114">
        <v>210</v>
      </c>
      <c r="F41" s="114">
        <v>168</v>
      </c>
      <c r="G41" s="114">
        <v>179</v>
      </c>
      <c r="H41" s="114">
        <v>168</v>
      </c>
      <c r="I41" s="114">
        <v>167</v>
      </c>
    </row>
    <row r="42" spans="1:9" x14ac:dyDescent="0.3">
      <c r="A42" s="113">
        <v>1928</v>
      </c>
      <c r="B42" s="113" t="s">
        <v>49</v>
      </c>
      <c r="C42" s="113" t="s">
        <v>189</v>
      </c>
      <c r="D42" s="114">
        <v>132</v>
      </c>
      <c r="E42" s="114">
        <v>157</v>
      </c>
      <c r="F42" s="114">
        <v>89</v>
      </c>
      <c r="G42" s="114">
        <v>81</v>
      </c>
      <c r="H42" s="114">
        <v>93</v>
      </c>
      <c r="I42" s="114">
        <v>84</v>
      </c>
    </row>
    <row r="43" spans="1:9" x14ac:dyDescent="0.3">
      <c r="A43" s="113">
        <v>1929</v>
      </c>
      <c r="B43" s="113" t="s">
        <v>53</v>
      </c>
      <c r="C43" s="113" t="s">
        <v>189</v>
      </c>
      <c r="D43" s="114">
        <v>148</v>
      </c>
      <c r="E43" s="114">
        <v>181</v>
      </c>
      <c r="F43" s="114">
        <v>82</v>
      </c>
      <c r="G43" s="114">
        <v>88</v>
      </c>
      <c r="H43" s="114">
        <v>99</v>
      </c>
      <c r="I43" s="114">
        <v>88</v>
      </c>
    </row>
    <row r="44" spans="1:9" x14ac:dyDescent="0.3">
      <c r="A44" s="113">
        <v>1931</v>
      </c>
      <c r="B44" s="113" t="s">
        <v>56</v>
      </c>
      <c r="C44" s="113" t="s">
        <v>189</v>
      </c>
      <c r="D44" s="114">
        <v>1498</v>
      </c>
      <c r="E44" s="114">
        <v>1463</v>
      </c>
      <c r="F44" s="114">
        <v>1600</v>
      </c>
      <c r="G44" s="114">
        <v>1625</v>
      </c>
      <c r="H44" s="114">
        <v>1633</v>
      </c>
      <c r="I44" s="114">
        <v>1692</v>
      </c>
    </row>
    <row r="45" spans="1:9" x14ac:dyDescent="0.3">
      <c r="A45" s="113">
        <v>1933</v>
      </c>
      <c r="B45" s="113" t="s">
        <v>60</v>
      </c>
      <c r="C45" s="113" t="s">
        <v>189</v>
      </c>
      <c r="D45" s="114">
        <v>759</v>
      </c>
      <c r="E45" s="114">
        <v>718</v>
      </c>
      <c r="F45" s="114">
        <v>657</v>
      </c>
      <c r="G45" s="114">
        <v>612</v>
      </c>
      <c r="H45" s="114">
        <v>673</v>
      </c>
      <c r="I45" s="114">
        <v>700</v>
      </c>
    </row>
    <row r="46" spans="1:9" x14ac:dyDescent="0.3">
      <c r="A46" s="113">
        <v>1936</v>
      </c>
      <c r="B46" s="115" t="s">
        <v>62</v>
      </c>
      <c r="C46" s="113" t="s">
        <v>189</v>
      </c>
      <c r="D46" s="114">
        <v>360</v>
      </c>
      <c r="E46" s="114">
        <v>333</v>
      </c>
      <c r="F46" s="114">
        <v>220</v>
      </c>
      <c r="G46" s="114">
        <v>210</v>
      </c>
      <c r="H46" s="114">
        <v>221</v>
      </c>
      <c r="I46" s="114">
        <v>205</v>
      </c>
    </row>
    <row r="47" spans="1:9" x14ac:dyDescent="0.3">
      <c r="A47" s="113">
        <v>1938</v>
      </c>
      <c r="B47" s="113" t="s">
        <v>66</v>
      </c>
      <c r="C47" s="113" t="s">
        <v>189</v>
      </c>
      <c r="D47" s="114">
        <v>517</v>
      </c>
      <c r="E47" s="114">
        <v>417</v>
      </c>
      <c r="F47" s="114">
        <v>367</v>
      </c>
      <c r="G47" s="114">
        <v>285</v>
      </c>
      <c r="H47" s="114">
        <v>259</v>
      </c>
      <c r="I47" s="114">
        <v>249</v>
      </c>
    </row>
    <row r="48" spans="1:9" x14ac:dyDescent="0.3">
      <c r="A48" s="113">
        <v>1939</v>
      </c>
      <c r="B48" s="113" t="s">
        <v>70</v>
      </c>
      <c r="C48" s="113" t="s">
        <v>189</v>
      </c>
      <c r="D48" s="114">
        <v>284</v>
      </c>
      <c r="E48" s="114">
        <v>217</v>
      </c>
      <c r="F48" s="114">
        <v>230</v>
      </c>
      <c r="G48" s="114">
        <v>229</v>
      </c>
      <c r="H48" s="114">
        <v>232</v>
      </c>
      <c r="I48" s="114">
        <v>234</v>
      </c>
    </row>
    <row r="49" spans="1:9" x14ac:dyDescent="0.3">
      <c r="A49" s="113">
        <v>1940</v>
      </c>
      <c r="B49" s="113" t="s">
        <v>95</v>
      </c>
      <c r="C49" s="113" t="s">
        <v>189</v>
      </c>
      <c r="D49" s="114">
        <v>329</v>
      </c>
      <c r="E49" s="114">
        <v>309</v>
      </c>
      <c r="F49" s="114">
        <v>228</v>
      </c>
      <c r="G49" s="114">
        <v>214</v>
      </c>
      <c r="H49" s="114">
        <v>227</v>
      </c>
      <c r="I49" s="114">
        <v>215</v>
      </c>
    </row>
    <row r="50" spans="1:9" x14ac:dyDescent="0.3">
      <c r="A50" s="113">
        <v>1941</v>
      </c>
      <c r="B50" s="113" t="s">
        <v>77</v>
      </c>
      <c r="C50" s="113" t="s">
        <v>189</v>
      </c>
      <c r="D50" s="114">
        <v>426</v>
      </c>
      <c r="E50" s="114">
        <v>402</v>
      </c>
      <c r="F50" s="114">
        <v>339</v>
      </c>
      <c r="G50" s="114">
        <v>316</v>
      </c>
      <c r="H50" s="114">
        <v>360</v>
      </c>
      <c r="I50" s="114">
        <v>362</v>
      </c>
    </row>
    <row r="51" spans="1:9" x14ac:dyDescent="0.3">
      <c r="A51" s="113">
        <v>1942</v>
      </c>
      <c r="B51" s="113" t="s">
        <v>81</v>
      </c>
      <c r="C51" s="113" t="s">
        <v>189</v>
      </c>
      <c r="D51" s="114">
        <v>627</v>
      </c>
      <c r="E51" s="114">
        <v>656</v>
      </c>
      <c r="F51" s="114">
        <v>623</v>
      </c>
      <c r="G51" s="114">
        <v>650</v>
      </c>
      <c r="H51" s="114">
        <v>664</v>
      </c>
      <c r="I51" s="114">
        <v>679</v>
      </c>
    </row>
    <row r="52" spans="1:9" x14ac:dyDescent="0.3">
      <c r="A52" s="113">
        <v>1943</v>
      </c>
      <c r="B52" s="113" t="s">
        <v>84</v>
      </c>
      <c r="C52" s="113" t="s">
        <v>189</v>
      </c>
      <c r="D52" s="114">
        <v>170</v>
      </c>
      <c r="E52" s="114">
        <v>172</v>
      </c>
      <c r="F52" s="114">
        <v>133</v>
      </c>
      <c r="G52" s="114">
        <v>120</v>
      </c>
      <c r="H52" s="114">
        <v>112</v>
      </c>
      <c r="I52" s="114">
        <v>117</v>
      </c>
    </row>
    <row r="53" spans="1:9" x14ac:dyDescent="0.3">
      <c r="A53" s="113">
        <v>1902</v>
      </c>
      <c r="B53" s="113" t="s">
        <v>10</v>
      </c>
      <c r="C53" s="113" t="s">
        <v>190</v>
      </c>
      <c r="D53" s="114">
        <v>35274</v>
      </c>
      <c r="E53" s="114">
        <v>40506</v>
      </c>
      <c r="F53" s="114">
        <v>51017</v>
      </c>
      <c r="G53" s="114">
        <v>52431</v>
      </c>
      <c r="H53" s="114">
        <v>53515</v>
      </c>
      <c r="I53" s="114">
        <v>53371</v>
      </c>
    </row>
    <row r="54" spans="1:9" x14ac:dyDescent="0.3">
      <c r="A54" s="113">
        <v>1903</v>
      </c>
      <c r="B54" s="115" t="s">
        <v>6</v>
      </c>
      <c r="C54" s="115" t="s">
        <v>190</v>
      </c>
      <c r="D54" s="114">
        <v>15463</v>
      </c>
      <c r="E54" s="114">
        <v>15384</v>
      </c>
      <c r="F54" s="114">
        <v>16330</v>
      </c>
      <c r="G54" s="114">
        <v>16453</v>
      </c>
      <c r="H54" s="114">
        <v>16761</v>
      </c>
      <c r="I54" s="114">
        <v>17076</v>
      </c>
    </row>
    <row r="55" spans="1:9" x14ac:dyDescent="0.3">
      <c r="A55" s="113">
        <v>1911</v>
      </c>
      <c r="B55" s="113" t="s">
        <v>14</v>
      </c>
      <c r="C55" s="113" t="s">
        <v>190</v>
      </c>
      <c r="D55" s="114">
        <v>2259</v>
      </c>
      <c r="E55" s="114">
        <v>2093</v>
      </c>
      <c r="F55" s="114">
        <v>2027</v>
      </c>
      <c r="G55" s="114">
        <v>1987</v>
      </c>
      <c r="H55" s="114">
        <v>1978</v>
      </c>
      <c r="I55" s="114">
        <v>2070</v>
      </c>
    </row>
    <row r="56" spans="1:9" x14ac:dyDescent="0.3">
      <c r="A56" s="113">
        <v>1913</v>
      </c>
      <c r="B56" s="113" t="s">
        <v>18</v>
      </c>
      <c r="C56" s="113" t="s">
        <v>190</v>
      </c>
      <c r="D56" s="114">
        <v>2062</v>
      </c>
      <c r="E56" s="114">
        <v>2036</v>
      </c>
      <c r="F56" s="114">
        <v>1889</v>
      </c>
      <c r="G56" s="114">
        <v>1864</v>
      </c>
      <c r="H56" s="114">
        <v>1889</v>
      </c>
      <c r="I56" s="114">
        <v>1937</v>
      </c>
    </row>
    <row r="57" spans="1:9" x14ac:dyDescent="0.3">
      <c r="A57" s="113">
        <v>1917</v>
      </c>
      <c r="B57" s="113" t="s">
        <v>21</v>
      </c>
      <c r="C57" s="113" t="s">
        <v>190</v>
      </c>
      <c r="D57" s="114">
        <v>1360</v>
      </c>
      <c r="E57" s="114">
        <v>1031</v>
      </c>
      <c r="F57" s="114">
        <v>852</v>
      </c>
      <c r="G57" s="114">
        <v>830</v>
      </c>
      <c r="H57" s="114">
        <v>805</v>
      </c>
      <c r="I57" s="114">
        <v>859</v>
      </c>
    </row>
    <row r="58" spans="1:9" x14ac:dyDescent="0.3">
      <c r="A58" s="113">
        <v>1919</v>
      </c>
      <c r="B58" s="113" t="s">
        <v>24</v>
      </c>
      <c r="C58" s="113" t="s">
        <v>190</v>
      </c>
      <c r="D58" s="114">
        <v>923</v>
      </c>
      <c r="E58" s="114">
        <v>785</v>
      </c>
      <c r="F58" s="114">
        <v>696</v>
      </c>
      <c r="G58" s="114">
        <v>714</v>
      </c>
      <c r="H58" s="114">
        <v>694</v>
      </c>
      <c r="I58" s="114">
        <v>664</v>
      </c>
    </row>
    <row r="59" spans="1:9" x14ac:dyDescent="0.3">
      <c r="A59" s="113">
        <v>1920</v>
      </c>
      <c r="B59" s="113" t="s">
        <v>27</v>
      </c>
      <c r="C59" s="113" t="s">
        <v>190</v>
      </c>
      <c r="D59" s="114">
        <v>733</v>
      </c>
      <c r="E59" s="114">
        <v>624</v>
      </c>
      <c r="F59" s="114">
        <v>603</v>
      </c>
      <c r="G59" s="114">
        <v>602</v>
      </c>
      <c r="H59" s="114">
        <v>577</v>
      </c>
      <c r="I59" s="114">
        <v>543</v>
      </c>
    </row>
    <row r="60" spans="1:9" x14ac:dyDescent="0.3">
      <c r="A60" s="113">
        <v>1922</v>
      </c>
      <c r="B60" s="113" t="s">
        <v>30</v>
      </c>
      <c r="C60" s="113" t="s">
        <v>190</v>
      </c>
      <c r="D60" s="114">
        <v>2635</v>
      </c>
      <c r="E60" s="114">
        <v>2587</v>
      </c>
      <c r="F60" s="114">
        <v>2610</v>
      </c>
      <c r="G60" s="114">
        <v>2609</v>
      </c>
      <c r="H60" s="114">
        <v>2588</v>
      </c>
      <c r="I60" s="114">
        <v>2557</v>
      </c>
    </row>
    <row r="61" spans="1:9" x14ac:dyDescent="0.3">
      <c r="A61" s="113">
        <v>1923</v>
      </c>
      <c r="B61" s="113" t="s">
        <v>34</v>
      </c>
      <c r="C61" s="113" t="s">
        <v>190</v>
      </c>
      <c r="D61" s="114">
        <v>1620</v>
      </c>
      <c r="E61" s="114">
        <v>1530</v>
      </c>
      <c r="F61" s="114">
        <v>1481</v>
      </c>
      <c r="G61" s="114">
        <v>1429</v>
      </c>
      <c r="H61" s="114">
        <v>1385</v>
      </c>
      <c r="I61" s="114">
        <v>1370</v>
      </c>
    </row>
    <row r="62" spans="1:9" x14ac:dyDescent="0.3">
      <c r="A62" s="113">
        <v>1924</v>
      </c>
      <c r="B62" s="113" t="s">
        <v>36</v>
      </c>
      <c r="C62" s="113" t="s">
        <v>190</v>
      </c>
      <c r="D62" s="114">
        <v>4985</v>
      </c>
      <c r="E62" s="114">
        <v>4586</v>
      </c>
      <c r="F62" s="114">
        <v>4468</v>
      </c>
      <c r="G62" s="114">
        <v>4539</v>
      </c>
      <c r="H62" s="114">
        <v>4580</v>
      </c>
      <c r="I62" s="114">
        <v>4632</v>
      </c>
    </row>
    <row r="63" spans="1:9" x14ac:dyDescent="0.3">
      <c r="A63" s="113">
        <v>1925</v>
      </c>
      <c r="B63" s="113" t="s">
        <v>39</v>
      </c>
      <c r="C63" s="113" t="s">
        <v>190</v>
      </c>
      <c r="D63" s="114">
        <v>2256</v>
      </c>
      <c r="E63" s="114">
        <v>2120</v>
      </c>
      <c r="F63" s="114">
        <v>2247</v>
      </c>
      <c r="G63" s="114">
        <v>2317</v>
      </c>
      <c r="H63" s="114">
        <v>2350</v>
      </c>
      <c r="I63" s="114">
        <v>2260</v>
      </c>
    </row>
    <row r="64" spans="1:9" x14ac:dyDescent="0.3">
      <c r="A64" s="113">
        <v>1926</v>
      </c>
      <c r="B64" s="113" t="s">
        <v>42</v>
      </c>
      <c r="C64" s="113" t="s">
        <v>190</v>
      </c>
      <c r="D64" s="114">
        <v>962</v>
      </c>
      <c r="E64" s="114">
        <v>807</v>
      </c>
      <c r="F64" s="114">
        <v>718</v>
      </c>
      <c r="G64" s="114">
        <v>671</v>
      </c>
      <c r="H64" s="114">
        <v>564</v>
      </c>
      <c r="I64" s="114">
        <v>506</v>
      </c>
    </row>
    <row r="65" spans="1:9" x14ac:dyDescent="0.3">
      <c r="A65" s="113">
        <v>1927</v>
      </c>
      <c r="B65" s="113" t="s">
        <v>45</v>
      </c>
      <c r="C65" s="113" t="s">
        <v>190</v>
      </c>
      <c r="D65" s="114">
        <v>1263</v>
      </c>
      <c r="E65" s="114">
        <v>1044</v>
      </c>
      <c r="F65" s="114">
        <v>894</v>
      </c>
      <c r="G65" s="114">
        <v>851</v>
      </c>
      <c r="H65" s="114">
        <v>794</v>
      </c>
      <c r="I65" s="114">
        <v>770</v>
      </c>
    </row>
    <row r="66" spans="1:9" x14ac:dyDescent="0.3">
      <c r="A66" s="113">
        <v>1928</v>
      </c>
      <c r="B66" s="113" t="s">
        <v>49</v>
      </c>
      <c r="C66" s="113" t="s">
        <v>190</v>
      </c>
      <c r="D66" s="114">
        <v>810</v>
      </c>
      <c r="E66" s="114">
        <v>702</v>
      </c>
      <c r="F66" s="114">
        <v>534</v>
      </c>
      <c r="G66" s="114">
        <v>502</v>
      </c>
      <c r="H66" s="114">
        <v>430</v>
      </c>
      <c r="I66" s="114">
        <v>379</v>
      </c>
    </row>
    <row r="67" spans="1:9" x14ac:dyDescent="0.3">
      <c r="A67" s="113">
        <v>1929</v>
      </c>
      <c r="B67" s="113" t="s">
        <v>53</v>
      </c>
      <c r="C67" s="113" t="s">
        <v>190</v>
      </c>
      <c r="D67" s="114">
        <v>771</v>
      </c>
      <c r="E67" s="114">
        <v>644</v>
      </c>
      <c r="F67" s="114">
        <v>595</v>
      </c>
      <c r="G67" s="114">
        <v>580</v>
      </c>
      <c r="H67" s="114">
        <v>520</v>
      </c>
      <c r="I67" s="114">
        <v>493</v>
      </c>
    </row>
    <row r="68" spans="1:9" x14ac:dyDescent="0.3">
      <c r="A68" s="113">
        <v>1931</v>
      </c>
      <c r="B68" s="113" t="s">
        <v>56</v>
      </c>
      <c r="C68" s="113" t="s">
        <v>190</v>
      </c>
      <c r="D68" s="114">
        <v>7188</v>
      </c>
      <c r="E68" s="114">
        <v>7102</v>
      </c>
      <c r="F68" s="114">
        <v>7503</v>
      </c>
      <c r="G68" s="114">
        <v>7656</v>
      </c>
      <c r="H68" s="114">
        <v>7894</v>
      </c>
      <c r="I68" s="114">
        <v>7980</v>
      </c>
    </row>
    <row r="69" spans="1:9" x14ac:dyDescent="0.3">
      <c r="A69" s="113">
        <v>1933</v>
      </c>
      <c r="B69" s="113" t="s">
        <v>60</v>
      </c>
      <c r="C69" s="113" t="s">
        <v>190</v>
      </c>
      <c r="D69" s="114">
        <v>4231</v>
      </c>
      <c r="E69" s="114">
        <v>3674</v>
      </c>
      <c r="F69" s="114">
        <v>3572</v>
      </c>
      <c r="G69" s="114">
        <v>3679</v>
      </c>
      <c r="H69" s="114">
        <v>3810</v>
      </c>
      <c r="I69" s="114">
        <v>3857</v>
      </c>
    </row>
    <row r="70" spans="1:9" x14ac:dyDescent="0.3">
      <c r="A70" s="113">
        <v>1936</v>
      </c>
      <c r="B70" s="113" t="s">
        <v>62</v>
      </c>
      <c r="C70" s="113" t="s">
        <v>190</v>
      </c>
      <c r="D70" s="114">
        <v>1823</v>
      </c>
      <c r="E70" s="114">
        <v>1616</v>
      </c>
      <c r="F70" s="114">
        <v>1500</v>
      </c>
      <c r="G70" s="114">
        <v>1451</v>
      </c>
      <c r="H70" s="114">
        <v>1334</v>
      </c>
      <c r="I70" s="114">
        <v>1272</v>
      </c>
    </row>
    <row r="71" spans="1:9" x14ac:dyDescent="0.3">
      <c r="A71" s="113">
        <v>1938</v>
      </c>
      <c r="B71" s="113" t="s">
        <v>66</v>
      </c>
      <c r="C71" s="113" t="s">
        <v>190</v>
      </c>
      <c r="D71" s="114">
        <v>2314</v>
      </c>
      <c r="E71" s="114">
        <v>2037</v>
      </c>
      <c r="F71" s="114">
        <v>1830</v>
      </c>
      <c r="G71" s="114">
        <v>1743</v>
      </c>
      <c r="H71" s="114">
        <v>1563</v>
      </c>
      <c r="I71" s="114">
        <v>1424</v>
      </c>
    </row>
    <row r="72" spans="1:9" x14ac:dyDescent="0.3">
      <c r="A72" s="113">
        <v>1939</v>
      </c>
      <c r="B72" s="113" t="s">
        <v>70</v>
      </c>
      <c r="C72" s="113" t="s">
        <v>190</v>
      </c>
      <c r="D72" s="114">
        <v>1189</v>
      </c>
      <c r="E72" s="114">
        <v>1270</v>
      </c>
      <c r="F72" s="114">
        <v>1295</v>
      </c>
      <c r="G72" s="114">
        <v>1290</v>
      </c>
      <c r="H72" s="114">
        <v>1285</v>
      </c>
      <c r="I72" s="114">
        <v>1324</v>
      </c>
    </row>
    <row r="73" spans="1:9" x14ac:dyDescent="0.3">
      <c r="A73" s="113">
        <v>1940</v>
      </c>
      <c r="B73" s="113" t="s">
        <v>95</v>
      </c>
      <c r="C73" s="113" t="s">
        <v>190</v>
      </c>
      <c r="D73" s="114">
        <v>1869</v>
      </c>
      <c r="E73" s="114">
        <v>1523</v>
      </c>
      <c r="F73" s="114">
        <v>1406</v>
      </c>
      <c r="G73" s="114">
        <v>1349</v>
      </c>
      <c r="H73" s="114">
        <v>1310</v>
      </c>
      <c r="I73" s="114">
        <v>1237</v>
      </c>
    </row>
    <row r="74" spans="1:9" x14ac:dyDescent="0.3">
      <c r="A74" s="113">
        <v>1941</v>
      </c>
      <c r="B74" s="113" t="s">
        <v>77</v>
      </c>
      <c r="C74" s="113" t="s">
        <v>190</v>
      </c>
      <c r="D74" s="114">
        <v>2015</v>
      </c>
      <c r="E74" s="114">
        <v>1907</v>
      </c>
      <c r="F74" s="114">
        <v>1845</v>
      </c>
      <c r="G74" s="114">
        <v>1827</v>
      </c>
      <c r="H74" s="114">
        <v>1792</v>
      </c>
      <c r="I74" s="114">
        <v>1740</v>
      </c>
    </row>
    <row r="75" spans="1:9" x14ac:dyDescent="0.3">
      <c r="A75" s="113">
        <v>1942</v>
      </c>
      <c r="B75" s="113" t="s">
        <v>81</v>
      </c>
      <c r="C75" s="113" t="s">
        <v>190</v>
      </c>
      <c r="D75" s="114">
        <v>3090</v>
      </c>
      <c r="E75" s="114">
        <v>3072</v>
      </c>
      <c r="F75" s="114">
        <v>3129</v>
      </c>
      <c r="G75" s="114">
        <v>3186</v>
      </c>
      <c r="H75" s="114">
        <v>3341</v>
      </c>
      <c r="I75" s="114">
        <v>3399</v>
      </c>
    </row>
    <row r="76" spans="1:9" x14ac:dyDescent="0.3">
      <c r="A76" s="113">
        <v>1943</v>
      </c>
      <c r="B76" s="113" t="s">
        <v>84</v>
      </c>
      <c r="C76" s="113" t="s">
        <v>190</v>
      </c>
      <c r="D76" s="114">
        <v>1063</v>
      </c>
      <c r="E76" s="114">
        <v>896</v>
      </c>
      <c r="F76" s="114">
        <v>754</v>
      </c>
      <c r="G76" s="114">
        <v>694</v>
      </c>
      <c r="H76" s="114">
        <v>633</v>
      </c>
      <c r="I76" s="114">
        <v>578</v>
      </c>
    </row>
    <row r="77" spans="1:9" x14ac:dyDescent="0.3">
      <c r="A77" s="113">
        <v>1902</v>
      </c>
      <c r="B77" s="113" t="s">
        <v>10</v>
      </c>
      <c r="C77" s="113" t="s">
        <v>191</v>
      </c>
      <c r="D77" s="114">
        <v>4515</v>
      </c>
      <c r="E77" s="114">
        <v>5151</v>
      </c>
      <c r="F77" s="114">
        <v>7459</v>
      </c>
      <c r="G77" s="114">
        <v>9161</v>
      </c>
      <c r="H77" s="114">
        <v>12417</v>
      </c>
      <c r="I77" s="114">
        <v>15508</v>
      </c>
    </row>
    <row r="78" spans="1:9" x14ac:dyDescent="0.3">
      <c r="A78" s="113">
        <v>1903</v>
      </c>
      <c r="B78" s="115" t="s">
        <v>6</v>
      </c>
      <c r="C78" s="113" t="s">
        <v>191</v>
      </c>
      <c r="D78" s="114">
        <v>2714</v>
      </c>
      <c r="E78" s="114">
        <v>3064</v>
      </c>
      <c r="F78" s="114">
        <v>3747</v>
      </c>
      <c r="G78" s="114">
        <v>4315</v>
      </c>
      <c r="H78" s="114">
        <v>5350</v>
      </c>
      <c r="I78" s="114">
        <v>6118</v>
      </c>
    </row>
    <row r="79" spans="1:9" x14ac:dyDescent="0.3">
      <c r="A79" s="113">
        <v>1911</v>
      </c>
      <c r="B79" s="113" t="s">
        <v>14</v>
      </c>
      <c r="C79" s="113" t="s">
        <v>191</v>
      </c>
      <c r="D79" s="114">
        <v>552</v>
      </c>
      <c r="E79" s="114">
        <v>455</v>
      </c>
      <c r="F79" s="114">
        <v>543</v>
      </c>
      <c r="G79" s="114">
        <v>605</v>
      </c>
      <c r="H79" s="114">
        <v>736</v>
      </c>
      <c r="I79" s="114">
        <v>780</v>
      </c>
    </row>
    <row r="80" spans="1:9" x14ac:dyDescent="0.3">
      <c r="A80" s="113">
        <v>1913</v>
      </c>
      <c r="B80" s="113" t="s">
        <v>18</v>
      </c>
      <c r="C80" s="113" t="s">
        <v>191</v>
      </c>
      <c r="D80" s="114">
        <v>537</v>
      </c>
      <c r="E80" s="114">
        <v>497</v>
      </c>
      <c r="F80" s="114">
        <v>575</v>
      </c>
      <c r="G80" s="114">
        <v>659</v>
      </c>
      <c r="H80" s="114">
        <v>772</v>
      </c>
      <c r="I80" s="114">
        <v>775</v>
      </c>
    </row>
    <row r="81" spans="1:9" x14ac:dyDescent="0.3">
      <c r="A81" s="113">
        <v>1917</v>
      </c>
      <c r="B81" s="113" t="s">
        <v>21</v>
      </c>
      <c r="C81" s="113" t="s">
        <v>191</v>
      </c>
      <c r="D81" s="114">
        <v>481</v>
      </c>
      <c r="E81" s="114">
        <v>462</v>
      </c>
      <c r="F81" s="114">
        <v>382</v>
      </c>
      <c r="G81" s="114">
        <v>391</v>
      </c>
      <c r="H81" s="114">
        <v>392</v>
      </c>
      <c r="I81" s="114">
        <v>362</v>
      </c>
    </row>
    <row r="82" spans="1:9" x14ac:dyDescent="0.3">
      <c r="A82" s="113">
        <v>1919</v>
      </c>
      <c r="B82" s="113" t="s">
        <v>24</v>
      </c>
      <c r="C82" s="113" t="s">
        <v>191</v>
      </c>
      <c r="D82" s="114">
        <v>287</v>
      </c>
      <c r="E82" s="114">
        <v>299</v>
      </c>
      <c r="F82" s="114">
        <v>267</v>
      </c>
      <c r="G82" s="114">
        <v>263</v>
      </c>
      <c r="H82" s="114">
        <v>275</v>
      </c>
      <c r="I82" s="114">
        <v>295</v>
      </c>
    </row>
    <row r="83" spans="1:9" x14ac:dyDescent="0.3">
      <c r="A83" s="113">
        <v>1920</v>
      </c>
      <c r="B83" s="113" t="s">
        <v>27</v>
      </c>
      <c r="C83" s="113" t="s">
        <v>191</v>
      </c>
      <c r="D83" s="114">
        <v>216</v>
      </c>
      <c r="E83" s="114">
        <v>228</v>
      </c>
      <c r="F83" s="114">
        <v>220</v>
      </c>
      <c r="G83" s="114">
        <v>218</v>
      </c>
      <c r="H83" s="114">
        <v>232</v>
      </c>
      <c r="I83" s="114">
        <v>248</v>
      </c>
    </row>
    <row r="84" spans="1:9" x14ac:dyDescent="0.3">
      <c r="A84" s="113">
        <v>1922</v>
      </c>
      <c r="B84" s="113" t="s">
        <v>30</v>
      </c>
      <c r="C84" s="113" t="s">
        <v>191</v>
      </c>
      <c r="D84" s="114">
        <v>422</v>
      </c>
      <c r="E84" s="114">
        <v>483</v>
      </c>
      <c r="F84" s="114">
        <v>639</v>
      </c>
      <c r="G84" s="114">
        <v>724</v>
      </c>
      <c r="H84" s="114">
        <v>823</v>
      </c>
      <c r="I84" s="114">
        <v>909</v>
      </c>
    </row>
    <row r="85" spans="1:9" x14ac:dyDescent="0.3">
      <c r="A85" s="113">
        <v>1923</v>
      </c>
      <c r="B85" s="113" t="s">
        <v>34</v>
      </c>
      <c r="C85" s="113" t="s">
        <v>191</v>
      </c>
      <c r="D85" s="114">
        <v>422</v>
      </c>
      <c r="E85" s="114">
        <v>346</v>
      </c>
      <c r="F85" s="114">
        <v>401</v>
      </c>
      <c r="G85" s="114">
        <v>456</v>
      </c>
      <c r="H85" s="114">
        <v>540</v>
      </c>
      <c r="I85" s="114">
        <v>603</v>
      </c>
    </row>
    <row r="86" spans="1:9" x14ac:dyDescent="0.3">
      <c r="A86" s="113">
        <v>1924</v>
      </c>
      <c r="B86" s="113" t="s">
        <v>36</v>
      </c>
      <c r="C86" s="113" t="s">
        <v>191</v>
      </c>
      <c r="D86" s="114">
        <v>893</v>
      </c>
      <c r="E86" s="114">
        <v>931</v>
      </c>
      <c r="F86" s="114">
        <v>1035</v>
      </c>
      <c r="G86" s="114">
        <v>1189</v>
      </c>
      <c r="H86" s="114">
        <v>1447</v>
      </c>
      <c r="I86" s="114">
        <v>1728</v>
      </c>
    </row>
    <row r="87" spans="1:9" x14ac:dyDescent="0.3">
      <c r="A87" s="113">
        <v>1925</v>
      </c>
      <c r="B87" s="113" t="s">
        <v>39</v>
      </c>
      <c r="C87" s="113" t="s">
        <v>191</v>
      </c>
      <c r="D87" s="114">
        <v>434</v>
      </c>
      <c r="E87" s="114">
        <v>450</v>
      </c>
      <c r="F87" s="114">
        <v>541</v>
      </c>
      <c r="G87" s="114">
        <v>624</v>
      </c>
      <c r="H87" s="114">
        <v>774</v>
      </c>
      <c r="I87" s="114">
        <v>971</v>
      </c>
    </row>
    <row r="88" spans="1:9" x14ac:dyDescent="0.3">
      <c r="A88" s="113">
        <v>1926</v>
      </c>
      <c r="B88" s="113" t="s">
        <v>42</v>
      </c>
      <c r="C88" s="113" t="s">
        <v>191</v>
      </c>
      <c r="D88" s="114">
        <v>348</v>
      </c>
      <c r="E88" s="114">
        <v>284</v>
      </c>
      <c r="F88" s="114">
        <v>270</v>
      </c>
      <c r="G88" s="114">
        <v>277</v>
      </c>
      <c r="H88" s="114">
        <v>328</v>
      </c>
      <c r="I88" s="114">
        <v>330</v>
      </c>
    </row>
    <row r="89" spans="1:9" x14ac:dyDescent="0.3">
      <c r="A89" s="113">
        <v>1927</v>
      </c>
      <c r="B89" s="113" t="s">
        <v>45</v>
      </c>
      <c r="C89" s="113" t="s">
        <v>191</v>
      </c>
      <c r="D89" s="114">
        <v>347</v>
      </c>
      <c r="E89" s="114">
        <v>323</v>
      </c>
      <c r="F89" s="114">
        <v>355</v>
      </c>
      <c r="G89" s="114">
        <v>384</v>
      </c>
      <c r="H89" s="114">
        <v>410</v>
      </c>
      <c r="I89" s="114">
        <v>398</v>
      </c>
    </row>
    <row r="90" spans="1:9" x14ac:dyDescent="0.3">
      <c r="A90" s="113">
        <v>1928</v>
      </c>
      <c r="B90" s="113" t="s">
        <v>49</v>
      </c>
      <c r="C90" s="113" t="s">
        <v>191</v>
      </c>
      <c r="D90" s="114">
        <v>261</v>
      </c>
      <c r="E90" s="114">
        <v>231</v>
      </c>
      <c r="F90" s="114">
        <v>221</v>
      </c>
      <c r="G90" s="114">
        <v>222</v>
      </c>
      <c r="H90" s="114">
        <v>236</v>
      </c>
      <c r="I90" s="114">
        <v>248</v>
      </c>
    </row>
    <row r="91" spans="1:9" x14ac:dyDescent="0.3">
      <c r="A91" s="113">
        <v>1929</v>
      </c>
      <c r="B91" s="113" t="s">
        <v>53</v>
      </c>
      <c r="C91" s="113" t="s">
        <v>191</v>
      </c>
      <c r="D91" s="114">
        <v>196</v>
      </c>
      <c r="E91" s="114">
        <v>204</v>
      </c>
      <c r="F91" s="114">
        <v>194</v>
      </c>
      <c r="G91" s="114">
        <v>194</v>
      </c>
      <c r="H91" s="114">
        <v>233</v>
      </c>
      <c r="I91" s="114">
        <v>244</v>
      </c>
    </row>
    <row r="92" spans="1:9" x14ac:dyDescent="0.3">
      <c r="A92" s="113">
        <v>1931</v>
      </c>
      <c r="B92" s="113" t="s">
        <v>56</v>
      </c>
      <c r="C92" s="113" t="s">
        <v>191</v>
      </c>
      <c r="D92" s="114">
        <v>1409</v>
      </c>
      <c r="E92" s="114">
        <v>1483</v>
      </c>
      <c r="F92" s="114">
        <v>1733</v>
      </c>
      <c r="G92" s="114">
        <v>2040</v>
      </c>
      <c r="H92" s="114">
        <v>2531</v>
      </c>
      <c r="I92" s="114">
        <v>3032</v>
      </c>
    </row>
    <row r="93" spans="1:9" x14ac:dyDescent="0.3">
      <c r="A93" s="113">
        <v>1933</v>
      </c>
      <c r="B93" s="113" t="s">
        <v>60</v>
      </c>
      <c r="C93" s="113" t="s">
        <v>191</v>
      </c>
      <c r="D93" s="114">
        <v>965</v>
      </c>
      <c r="E93" s="114">
        <v>913</v>
      </c>
      <c r="F93" s="114">
        <v>1134</v>
      </c>
      <c r="G93" s="114">
        <v>1244</v>
      </c>
      <c r="H93" s="114">
        <v>1406</v>
      </c>
      <c r="I93" s="114">
        <v>1678</v>
      </c>
    </row>
    <row r="94" spans="1:9" x14ac:dyDescent="0.3">
      <c r="A94" s="113">
        <v>1936</v>
      </c>
      <c r="B94" s="113" t="s">
        <v>62</v>
      </c>
      <c r="C94" s="113" t="s">
        <v>191</v>
      </c>
      <c r="D94" s="114">
        <v>372</v>
      </c>
      <c r="E94" s="114">
        <v>374</v>
      </c>
      <c r="F94" s="114">
        <v>500</v>
      </c>
      <c r="G94" s="114">
        <v>558</v>
      </c>
      <c r="H94" s="114">
        <v>660</v>
      </c>
      <c r="I94" s="114">
        <v>696</v>
      </c>
    </row>
    <row r="95" spans="1:9" x14ac:dyDescent="0.3">
      <c r="A95" s="113">
        <v>1938</v>
      </c>
      <c r="B95" s="113" t="s">
        <v>66</v>
      </c>
      <c r="C95" s="113" t="s">
        <v>191</v>
      </c>
      <c r="D95" s="114">
        <v>490</v>
      </c>
      <c r="E95" s="114">
        <v>528</v>
      </c>
      <c r="F95" s="114">
        <v>634</v>
      </c>
      <c r="G95" s="114">
        <v>701</v>
      </c>
      <c r="H95" s="114">
        <v>784</v>
      </c>
      <c r="I95" s="114">
        <v>835</v>
      </c>
    </row>
    <row r="96" spans="1:9" x14ac:dyDescent="0.3">
      <c r="A96" s="113">
        <v>1939</v>
      </c>
      <c r="B96" s="113" t="s">
        <v>70</v>
      </c>
      <c r="C96" s="113" t="s">
        <v>191</v>
      </c>
      <c r="D96" s="114">
        <v>240</v>
      </c>
      <c r="E96" s="114">
        <v>240</v>
      </c>
      <c r="F96" s="114">
        <v>325</v>
      </c>
      <c r="G96" s="114">
        <v>417</v>
      </c>
      <c r="H96" s="114">
        <v>538</v>
      </c>
      <c r="I96" s="114">
        <v>583</v>
      </c>
    </row>
    <row r="97" spans="1:9" x14ac:dyDescent="0.3">
      <c r="A97" s="113">
        <v>1940</v>
      </c>
      <c r="B97" s="113" t="s">
        <v>95</v>
      </c>
      <c r="C97" s="113" t="s">
        <v>191</v>
      </c>
      <c r="D97" s="114">
        <v>393</v>
      </c>
      <c r="E97" s="114">
        <v>362</v>
      </c>
      <c r="F97" s="114">
        <v>473</v>
      </c>
      <c r="G97" s="114">
        <v>524</v>
      </c>
      <c r="H97" s="114">
        <v>558</v>
      </c>
      <c r="I97" s="114">
        <v>600</v>
      </c>
    </row>
    <row r="98" spans="1:9" x14ac:dyDescent="0.3">
      <c r="A98" s="113">
        <v>1941</v>
      </c>
      <c r="B98" s="113" t="s">
        <v>77</v>
      </c>
      <c r="C98" s="113" t="s">
        <v>191</v>
      </c>
      <c r="D98" s="114">
        <v>399</v>
      </c>
      <c r="E98" s="114">
        <v>361</v>
      </c>
      <c r="F98" s="114">
        <v>534</v>
      </c>
      <c r="G98" s="114">
        <v>579</v>
      </c>
      <c r="H98" s="114">
        <v>642</v>
      </c>
      <c r="I98" s="114">
        <v>735</v>
      </c>
    </row>
    <row r="99" spans="1:9" x14ac:dyDescent="0.3">
      <c r="A99" s="113">
        <v>1942</v>
      </c>
      <c r="B99" s="113" t="s">
        <v>81</v>
      </c>
      <c r="C99" s="113" t="s">
        <v>191</v>
      </c>
      <c r="D99" s="114">
        <v>600</v>
      </c>
      <c r="E99" s="114">
        <v>706</v>
      </c>
      <c r="F99" s="114">
        <v>811</v>
      </c>
      <c r="G99" s="114">
        <v>934</v>
      </c>
      <c r="H99" s="114">
        <v>1109</v>
      </c>
      <c r="I99" s="114">
        <v>1319</v>
      </c>
    </row>
    <row r="100" spans="1:9" x14ac:dyDescent="0.3">
      <c r="A100" s="113">
        <v>1943</v>
      </c>
      <c r="B100" s="113" t="s">
        <v>84</v>
      </c>
      <c r="C100" s="113" t="s">
        <v>191</v>
      </c>
      <c r="D100" s="114">
        <v>277</v>
      </c>
      <c r="E100" s="114">
        <v>276</v>
      </c>
      <c r="F100" s="114">
        <v>287</v>
      </c>
      <c r="G100" s="114">
        <v>311</v>
      </c>
      <c r="H100" s="114">
        <v>318</v>
      </c>
      <c r="I100" s="114">
        <v>316</v>
      </c>
    </row>
    <row r="101" spans="1:9" x14ac:dyDescent="0.3">
      <c r="D101" s="76">
        <f>SUM(D5:D100)</f>
        <v>146594</v>
      </c>
      <c r="E101" s="76">
        <f t="shared" ref="E101:F101" si="0">SUM(E5:E100)</f>
        <v>151160</v>
      </c>
      <c r="F101" s="76">
        <f t="shared" si="0"/>
        <v>163519</v>
      </c>
      <c r="G101" s="76">
        <f t="shared" ref="G101:I101" si="1">SUM(G4:G100)</f>
        <v>169390</v>
      </c>
      <c r="H101" s="76">
        <f t="shared" si="1"/>
        <v>178341</v>
      </c>
      <c r="I101" s="76">
        <f t="shared" si="1"/>
        <v>183967</v>
      </c>
    </row>
    <row r="103" spans="1:9" x14ac:dyDescent="0.3">
      <c r="D103" s="76" t="s">
        <v>264</v>
      </c>
      <c r="E103" s="76" t="s">
        <v>264</v>
      </c>
      <c r="F103" s="76" t="s">
        <v>264</v>
      </c>
    </row>
  </sheetData>
  <sortState ref="A5:H104">
    <sortCondition ref="C5:C104"/>
    <sortCondition ref="A5:A104"/>
  </sortState>
  <pageMargins left="0.7" right="0.7" top="0.75" bottom="0.75" header="0.3" footer="0.3"/>
  <pageSetup paperSize="9" scale="48"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5">
    <pageSetUpPr fitToPage="1"/>
  </sheetPr>
  <dimension ref="A1:M168"/>
  <sheetViews>
    <sheetView topLeftCell="A134" workbookViewId="0">
      <selection activeCell="C152" sqref="C152"/>
    </sheetView>
  </sheetViews>
  <sheetFormatPr baseColWidth="10" defaultRowHeight="14.4" x14ac:dyDescent="0.3"/>
  <cols>
    <col min="1" max="1" width="19.33203125" customWidth="1"/>
    <col min="2" max="2" width="19" customWidth="1"/>
    <col min="3" max="3" width="48" customWidth="1"/>
  </cols>
  <sheetData>
    <row r="1" spans="1:10" x14ac:dyDescent="0.3">
      <c r="C1" s="65" t="s">
        <v>264</v>
      </c>
    </row>
    <row r="2" spans="1:10" x14ac:dyDescent="0.3">
      <c r="A2" s="111" t="s">
        <v>96</v>
      </c>
      <c r="B2" s="111" t="s">
        <v>97</v>
      </c>
      <c r="C2" s="111" t="s">
        <v>199</v>
      </c>
      <c r="D2" s="112" t="s">
        <v>194</v>
      </c>
      <c r="E2" s="112" t="s">
        <v>195</v>
      </c>
      <c r="F2" s="112" t="s">
        <v>196</v>
      </c>
      <c r="G2" s="112" t="s">
        <v>109</v>
      </c>
      <c r="H2" s="111">
        <v>2012</v>
      </c>
      <c r="I2" s="111">
        <v>2013</v>
      </c>
      <c r="J2" s="111">
        <v>2014</v>
      </c>
    </row>
    <row r="3" spans="1:10" x14ac:dyDescent="0.3">
      <c r="A3" s="113">
        <v>1902</v>
      </c>
      <c r="B3" s="113" t="s">
        <v>10</v>
      </c>
      <c r="C3" s="113" t="s">
        <v>200</v>
      </c>
      <c r="D3" s="209">
        <v>0.4</v>
      </c>
      <c r="E3" s="209">
        <v>0.2</v>
      </c>
      <c r="F3" s="209">
        <v>1.1000000000000001</v>
      </c>
      <c r="G3" s="209">
        <v>1.8</v>
      </c>
      <c r="H3" s="209">
        <v>2.6</v>
      </c>
      <c r="I3" s="151">
        <v>2.6</v>
      </c>
      <c r="J3" s="210">
        <v>1</v>
      </c>
    </row>
    <row r="4" spans="1:10" s="72" customFormat="1" x14ac:dyDescent="0.3">
      <c r="A4" s="113">
        <v>1903</v>
      </c>
      <c r="B4" s="115" t="s">
        <v>6</v>
      </c>
      <c r="C4" s="113" t="s">
        <v>200</v>
      </c>
      <c r="D4" s="209">
        <v>0.1</v>
      </c>
      <c r="E4" s="209">
        <v>1.1000000000000001</v>
      </c>
      <c r="F4" s="209">
        <v>1.1000000000000001</v>
      </c>
      <c r="G4" s="209">
        <v>0.1</v>
      </c>
      <c r="H4" s="209">
        <v>0.1</v>
      </c>
      <c r="I4" s="151">
        <v>0.5</v>
      </c>
      <c r="J4" s="210">
        <v>1.3</v>
      </c>
    </row>
    <row r="5" spans="1:10" x14ac:dyDescent="0.3">
      <c r="A5" s="113">
        <v>1911</v>
      </c>
      <c r="B5" s="113" t="s">
        <v>14</v>
      </c>
      <c r="C5" s="113" t="s">
        <v>200</v>
      </c>
      <c r="D5" s="209">
        <v>2.2999999999999998</v>
      </c>
      <c r="E5" s="209">
        <v>1.2</v>
      </c>
      <c r="F5" s="209">
        <v>1.2</v>
      </c>
      <c r="G5" s="209">
        <v>0.6</v>
      </c>
      <c r="H5" s="209">
        <v>0.1</v>
      </c>
      <c r="I5" s="151">
        <v>0.1</v>
      </c>
      <c r="J5" s="210">
        <v>0</v>
      </c>
    </row>
    <row r="6" spans="1:10" x14ac:dyDescent="0.3">
      <c r="A6" s="113">
        <v>1913</v>
      </c>
      <c r="B6" s="113" t="s">
        <v>18</v>
      </c>
      <c r="C6" s="113" t="s">
        <v>200</v>
      </c>
      <c r="D6" s="209">
        <v>4.3</v>
      </c>
      <c r="E6" s="209">
        <v>1.2</v>
      </c>
      <c r="F6" s="209">
        <v>1.6</v>
      </c>
      <c r="G6" s="209">
        <v>1.4</v>
      </c>
      <c r="H6" s="209">
        <v>2</v>
      </c>
      <c r="I6" s="151">
        <v>1.7</v>
      </c>
      <c r="J6" s="210">
        <v>0.6</v>
      </c>
    </row>
    <row r="7" spans="1:10" x14ac:dyDescent="0.3">
      <c r="A7" s="113">
        <v>1917</v>
      </c>
      <c r="B7" s="113" t="s">
        <v>21</v>
      </c>
      <c r="C7" s="113" t="s">
        <v>200</v>
      </c>
      <c r="D7" s="209">
        <v>1.9</v>
      </c>
      <c r="E7" s="209">
        <v>1.5</v>
      </c>
      <c r="F7" s="209">
        <v>0.9</v>
      </c>
      <c r="G7" s="209">
        <v>0.3</v>
      </c>
      <c r="H7" s="209">
        <v>0.3</v>
      </c>
      <c r="I7" s="151">
        <v>2.9</v>
      </c>
      <c r="J7" s="210">
        <v>3.2</v>
      </c>
    </row>
    <row r="8" spans="1:10" x14ac:dyDescent="0.3">
      <c r="A8" s="113">
        <v>1919</v>
      </c>
      <c r="B8" s="113" t="s">
        <v>24</v>
      </c>
      <c r="C8" s="113" t="s">
        <v>200</v>
      </c>
      <c r="D8" s="209">
        <v>7.2</v>
      </c>
      <c r="E8" s="209">
        <v>9.3000000000000007</v>
      </c>
      <c r="F8" s="209">
        <v>7.2</v>
      </c>
      <c r="G8" s="209">
        <v>2.4</v>
      </c>
      <c r="H8" s="209">
        <v>2.2999999999999998</v>
      </c>
      <c r="I8" s="151">
        <v>2.1</v>
      </c>
      <c r="J8" s="210">
        <v>1.9</v>
      </c>
    </row>
    <row r="9" spans="1:10" x14ac:dyDescent="0.3">
      <c r="A9" s="113">
        <v>1920</v>
      </c>
      <c r="B9" s="113" t="s">
        <v>27</v>
      </c>
      <c r="C9" s="113" t="s">
        <v>200</v>
      </c>
      <c r="D9" s="209">
        <v>2.7</v>
      </c>
      <c r="E9" s="209">
        <v>1.2</v>
      </c>
      <c r="F9" s="209">
        <v>0.1</v>
      </c>
      <c r="G9" s="209">
        <v>1.3</v>
      </c>
      <c r="H9" s="209">
        <v>4.8</v>
      </c>
      <c r="I9" s="151">
        <v>3.5</v>
      </c>
      <c r="J9" s="210">
        <v>3.3</v>
      </c>
    </row>
    <row r="10" spans="1:10" x14ac:dyDescent="0.3">
      <c r="A10" s="113">
        <v>1922</v>
      </c>
      <c r="B10" s="113" t="s">
        <v>30</v>
      </c>
      <c r="C10" s="113" t="s">
        <v>200</v>
      </c>
      <c r="D10" s="209">
        <v>12.9</v>
      </c>
      <c r="E10" s="209">
        <v>8.8000000000000007</v>
      </c>
      <c r="F10" s="209">
        <v>4.7</v>
      </c>
      <c r="G10" s="209">
        <v>1.8</v>
      </c>
      <c r="H10" s="209">
        <v>4.5</v>
      </c>
      <c r="I10" s="151">
        <v>5</v>
      </c>
      <c r="J10" s="210">
        <v>4.8</v>
      </c>
    </row>
    <row r="11" spans="1:10" x14ac:dyDescent="0.3">
      <c r="A11" s="113">
        <v>1923</v>
      </c>
      <c r="B11" s="113" t="s">
        <v>34</v>
      </c>
      <c r="C11" s="113" t="s">
        <v>200</v>
      </c>
      <c r="D11" s="209">
        <v>0.3</v>
      </c>
      <c r="E11" s="209">
        <v>3</v>
      </c>
      <c r="F11" s="209">
        <v>0</v>
      </c>
      <c r="G11" s="209">
        <v>0</v>
      </c>
      <c r="H11" s="209">
        <v>0</v>
      </c>
      <c r="I11" s="151">
        <v>0</v>
      </c>
      <c r="J11" s="210">
        <v>0</v>
      </c>
    </row>
    <row r="12" spans="1:10" x14ac:dyDescent="0.3">
      <c r="A12" s="113">
        <v>1924</v>
      </c>
      <c r="B12" s="113" t="s">
        <v>36</v>
      </c>
      <c r="C12" s="113" t="s">
        <v>200</v>
      </c>
      <c r="D12" s="209">
        <v>0.1</v>
      </c>
      <c r="E12" s="209">
        <v>0.1</v>
      </c>
      <c r="F12" s="209">
        <v>0.1</v>
      </c>
      <c r="G12" s="209">
        <v>1.2</v>
      </c>
      <c r="H12" s="209">
        <v>0.4</v>
      </c>
      <c r="I12" s="151">
        <v>1.5</v>
      </c>
      <c r="J12" s="210">
        <v>0</v>
      </c>
    </row>
    <row r="13" spans="1:10" x14ac:dyDescent="0.3">
      <c r="A13" s="113">
        <v>1925</v>
      </c>
      <c r="B13" s="113" t="s">
        <v>39</v>
      </c>
      <c r="C13" s="113" t="s">
        <v>200</v>
      </c>
      <c r="D13" s="209">
        <v>0.1</v>
      </c>
      <c r="E13" s="209">
        <v>0.1</v>
      </c>
      <c r="F13" s="209">
        <v>0.1</v>
      </c>
      <c r="G13" s="209">
        <v>0.4</v>
      </c>
      <c r="H13" s="209">
        <v>2.8</v>
      </c>
      <c r="I13" s="151">
        <v>3.7</v>
      </c>
      <c r="J13" s="210">
        <v>3.4</v>
      </c>
    </row>
    <row r="14" spans="1:10" x14ac:dyDescent="0.3">
      <c r="A14" s="113">
        <v>1926</v>
      </c>
      <c r="B14" s="113" t="s">
        <v>42</v>
      </c>
      <c r="C14" s="113" t="s">
        <v>200</v>
      </c>
      <c r="D14" s="209">
        <v>4.3</v>
      </c>
      <c r="E14" s="209">
        <v>5.8</v>
      </c>
      <c r="F14" s="209">
        <v>9</v>
      </c>
      <c r="G14" s="209">
        <v>6.7</v>
      </c>
      <c r="H14" s="209">
        <v>8.4</v>
      </c>
      <c r="I14" s="151">
        <v>9.1</v>
      </c>
      <c r="J14" s="210">
        <v>7.7</v>
      </c>
    </row>
    <row r="15" spans="1:10" x14ac:dyDescent="0.3">
      <c r="A15" s="113">
        <v>1927</v>
      </c>
      <c r="B15" s="113" t="s">
        <v>45</v>
      </c>
      <c r="C15" s="113" t="s">
        <v>200</v>
      </c>
      <c r="D15" s="209">
        <v>0.1</v>
      </c>
      <c r="E15" s="209">
        <v>0</v>
      </c>
      <c r="F15" s="209">
        <v>1</v>
      </c>
      <c r="G15" s="209">
        <v>1.5</v>
      </c>
      <c r="H15" s="209">
        <v>1.3</v>
      </c>
      <c r="I15" s="151">
        <v>0.1</v>
      </c>
      <c r="J15" s="210">
        <v>0.2</v>
      </c>
    </row>
    <row r="16" spans="1:10" x14ac:dyDescent="0.3">
      <c r="A16" s="113">
        <v>1928</v>
      </c>
      <c r="B16" s="113" t="s">
        <v>49</v>
      </c>
      <c r="C16" s="113" t="s">
        <v>200</v>
      </c>
      <c r="D16" s="211" t="s">
        <v>110</v>
      </c>
      <c r="E16" s="211" t="s">
        <v>110</v>
      </c>
      <c r="F16" s="211" t="s">
        <v>110</v>
      </c>
      <c r="G16" s="211" t="s">
        <v>110</v>
      </c>
      <c r="H16" s="211">
        <v>0.1</v>
      </c>
      <c r="I16" s="151">
        <v>0.1</v>
      </c>
      <c r="J16" s="210">
        <v>0</v>
      </c>
    </row>
    <row r="17" spans="1:10" x14ac:dyDescent="0.3">
      <c r="A17" s="113">
        <v>1929</v>
      </c>
      <c r="B17" s="113" t="s">
        <v>53</v>
      </c>
      <c r="C17" s="113" t="s">
        <v>200</v>
      </c>
      <c r="D17" s="209">
        <v>0.7</v>
      </c>
      <c r="E17" s="209">
        <v>1.6</v>
      </c>
      <c r="F17" s="209">
        <v>4.3</v>
      </c>
      <c r="G17" s="209">
        <v>6.2</v>
      </c>
      <c r="H17" s="211">
        <v>2.8</v>
      </c>
      <c r="I17" s="151">
        <v>1.3</v>
      </c>
      <c r="J17" s="210">
        <v>7.4</v>
      </c>
    </row>
    <row r="18" spans="1:10" x14ac:dyDescent="0.3">
      <c r="A18" s="113">
        <v>1931</v>
      </c>
      <c r="B18" s="113" t="s">
        <v>56</v>
      </c>
      <c r="C18" s="113" t="s">
        <v>200</v>
      </c>
      <c r="D18" s="209">
        <v>1.4</v>
      </c>
      <c r="E18" s="209">
        <v>1.3</v>
      </c>
      <c r="F18" s="209">
        <v>0.4</v>
      </c>
      <c r="G18" s="209">
        <v>0.4</v>
      </c>
      <c r="H18" s="209">
        <v>0.9</v>
      </c>
      <c r="I18" s="151">
        <v>0.6</v>
      </c>
      <c r="J18" s="210">
        <v>0</v>
      </c>
    </row>
    <row r="19" spans="1:10" x14ac:dyDescent="0.3">
      <c r="A19" s="113">
        <v>1933</v>
      </c>
      <c r="B19" s="113" t="s">
        <v>60</v>
      </c>
      <c r="C19" s="113" t="s">
        <v>200</v>
      </c>
      <c r="D19" s="209">
        <v>0.3</v>
      </c>
      <c r="E19" s="209">
        <v>0.9</v>
      </c>
      <c r="F19" s="209">
        <v>0.5</v>
      </c>
      <c r="G19" s="209">
        <v>0.8</v>
      </c>
      <c r="H19" s="209">
        <v>1.8</v>
      </c>
      <c r="I19" s="151">
        <v>1.6</v>
      </c>
      <c r="J19" s="210">
        <v>1.8</v>
      </c>
    </row>
    <row r="20" spans="1:10" x14ac:dyDescent="0.3">
      <c r="A20" s="113">
        <v>1936</v>
      </c>
      <c r="B20" s="113" t="s">
        <v>62</v>
      </c>
      <c r="C20" s="113" t="s">
        <v>200</v>
      </c>
      <c r="D20" s="209">
        <v>-2.6</v>
      </c>
      <c r="E20" s="209">
        <v>-2.4</v>
      </c>
      <c r="F20" s="209">
        <v>-1.1000000000000001</v>
      </c>
      <c r="G20" s="209">
        <v>-1.9</v>
      </c>
      <c r="H20" s="209">
        <v>-1.8</v>
      </c>
      <c r="I20" s="151">
        <v>0.3</v>
      </c>
      <c r="J20" s="210">
        <v>0</v>
      </c>
    </row>
    <row r="21" spans="1:10" x14ac:dyDescent="0.3">
      <c r="A21" s="113">
        <v>1938</v>
      </c>
      <c r="B21" s="113" t="s">
        <v>66</v>
      </c>
      <c r="C21" s="113" t="s">
        <v>200</v>
      </c>
      <c r="D21" s="209">
        <v>2.4</v>
      </c>
      <c r="E21" s="209">
        <v>0</v>
      </c>
      <c r="F21" s="209">
        <v>0.7</v>
      </c>
      <c r="G21" s="209">
        <v>1.3</v>
      </c>
      <c r="H21" s="209">
        <v>2.4</v>
      </c>
      <c r="I21" s="151">
        <v>2.8</v>
      </c>
      <c r="J21" s="210">
        <v>3.7</v>
      </c>
    </row>
    <row r="22" spans="1:10" x14ac:dyDescent="0.3">
      <c r="A22" s="113">
        <v>1939</v>
      </c>
      <c r="B22" s="113" t="s">
        <v>70</v>
      </c>
      <c r="C22" s="113" t="s">
        <v>200</v>
      </c>
      <c r="D22" s="209">
        <v>0.2</v>
      </c>
      <c r="E22" s="209">
        <v>1.8</v>
      </c>
      <c r="F22" s="209">
        <v>0.1</v>
      </c>
      <c r="G22" s="211">
        <v>0.1</v>
      </c>
      <c r="H22" s="209">
        <v>1.2</v>
      </c>
      <c r="I22" s="151">
        <v>1.2</v>
      </c>
      <c r="J22" s="210">
        <v>1.7</v>
      </c>
    </row>
    <row r="23" spans="1:10" x14ac:dyDescent="0.3">
      <c r="A23" s="113">
        <v>1940</v>
      </c>
      <c r="B23" s="113" t="s">
        <v>95</v>
      </c>
      <c r="C23" s="113" t="s">
        <v>200</v>
      </c>
      <c r="D23" s="209">
        <v>5.0999999999999996</v>
      </c>
      <c r="E23" s="209">
        <v>0.9</v>
      </c>
      <c r="F23" s="209">
        <v>0.1</v>
      </c>
      <c r="G23" s="209">
        <v>0</v>
      </c>
      <c r="H23" s="209">
        <v>-1.4</v>
      </c>
      <c r="I23" s="151">
        <v>-1.3</v>
      </c>
      <c r="J23" s="210">
        <v>-0.4</v>
      </c>
    </row>
    <row r="24" spans="1:10" x14ac:dyDescent="0.3">
      <c r="A24" s="113">
        <v>1941</v>
      </c>
      <c r="B24" s="113" t="s">
        <v>77</v>
      </c>
      <c r="C24" s="113" t="s">
        <v>200</v>
      </c>
      <c r="D24" s="209">
        <v>1.6</v>
      </c>
      <c r="E24" s="209">
        <v>1.1000000000000001</v>
      </c>
      <c r="F24" s="209">
        <v>0.2</v>
      </c>
      <c r="G24" s="209">
        <v>0.1</v>
      </c>
      <c r="H24" s="209">
        <v>0.1</v>
      </c>
      <c r="I24" s="151">
        <v>2.6</v>
      </c>
      <c r="J24" s="210">
        <v>3.8</v>
      </c>
    </row>
    <row r="25" spans="1:10" x14ac:dyDescent="0.3">
      <c r="A25" s="113">
        <v>1942</v>
      </c>
      <c r="B25" s="113" t="s">
        <v>81</v>
      </c>
      <c r="C25" s="113" t="s">
        <v>200</v>
      </c>
      <c r="D25" s="209">
        <v>0.1</v>
      </c>
      <c r="E25" s="209">
        <v>0.1</v>
      </c>
      <c r="F25" s="209">
        <v>0.1</v>
      </c>
      <c r="G25" s="209">
        <v>0.1</v>
      </c>
      <c r="H25" s="209">
        <v>-0.9</v>
      </c>
      <c r="I25" s="151">
        <v>-0.9</v>
      </c>
      <c r="J25" s="210">
        <v>-0.9</v>
      </c>
    </row>
    <row r="26" spans="1:10" x14ac:dyDescent="0.3">
      <c r="A26" s="113">
        <v>1943</v>
      </c>
      <c r="B26" s="113" t="s">
        <v>84</v>
      </c>
      <c r="C26" s="113" t="s">
        <v>200</v>
      </c>
      <c r="D26" s="209">
        <v>1.2</v>
      </c>
      <c r="E26" s="209">
        <v>0.7</v>
      </c>
      <c r="F26" s="209">
        <v>0.1</v>
      </c>
      <c r="G26" s="209">
        <v>1</v>
      </c>
      <c r="H26" s="209">
        <v>-1</v>
      </c>
      <c r="I26" s="151">
        <v>19.600000000000001</v>
      </c>
      <c r="J26" s="210">
        <v>15.2</v>
      </c>
    </row>
    <row r="27" spans="1:10" x14ac:dyDescent="0.3">
      <c r="A27" s="227" t="s">
        <v>197</v>
      </c>
      <c r="B27" s="133" t="s">
        <v>174</v>
      </c>
      <c r="C27" s="133" t="s">
        <v>200</v>
      </c>
      <c r="D27" s="133">
        <v>5.7</v>
      </c>
      <c r="E27" s="133">
        <v>5.5</v>
      </c>
      <c r="F27" s="133">
        <v>5.5</v>
      </c>
      <c r="G27" s="133">
        <v>5.6</v>
      </c>
      <c r="H27" s="133">
        <v>6.1</v>
      </c>
      <c r="I27" s="133">
        <v>6.2</v>
      </c>
      <c r="J27" s="210">
        <v>6.4</v>
      </c>
    </row>
    <row r="28" spans="1:10" x14ac:dyDescent="0.3">
      <c r="A28" s="227" t="s">
        <v>175</v>
      </c>
      <c r="B28" s="133" t="s">
        <v>198</v>
      </c>
      <c r="C28" s="133" t="s">
        <v>200</v>
      </c>
      <c r="D28" s="133">
        <v>1.3</v>
      </c>
      <c r="E28" s="133">
        <v>1.1000000000000001</v>
      </c>
      <c r="F28" s="133">
        <v>1.2</v>
      </c>
      <c r="G28" s="133">
        <v>1.3</v>
      </c>
      <c r="H28" s="133">
        <v>1.6</v>
      </c>
      <c r="I28" s="133">
        <v>2</v>
      </c>
      <c r="J28" s="210">
        <v>1.4</v>
      </c>
    </row>
    <row r="29" spans="1:10" x14ac:dyDescent="0.3">
      <c r="A29" s="227" t="s">
        <v>176</v>
      </c>
      <c r="B29" s="133" t="s">
        <v>176</v>
      </c>
      <c r="C29" s="133" t="s">
        <v>200</v>
      </c>
      <c r="D29" s="133">
        <v>6.5</v>
      </c>
      <c r="E29" s="133">
        <v>5.6</v>
      </c>
      <c r="F29" s="133">
        <v>5.8</v>
      </c>
      <c r="G29" s="133">
        <v>5.0999999999999996</v>
      </c>
      <c r="H29" s="133">
        <v>5.3</v>
      </c>
      <c r="I29" s="133">
        <v>5.0999999999999996</v>
      </c>
      <c r="J29" s="210">
        <v>4.9000000000000004</v>
      </c>
    </row>
    <row r="30" spans="1:10" x14ac:dyDescent="0.3">
      <c r="A30" s="227" t="s">
        <v>177</v>
      </c>
      <c r="B30" s="133" t="s">
        <v>177</v>
      </c>
      <c r="C30" s="133" t="s">
        <v>200</v>
      </c>
      <c r="D30" s="133">
        <v>7</v>
      </c>
      <c r="E30" s="133">
        <v>7.2</v>
      </c>
      <c r="F30" s="133">
        <v>7</v>
      </c>
      <c r="G30" s="133">
        <v>7.3</v>
      </c>
      <c r="H30" s="133">
        <v>6.7</v>
      </c>
      <c r="I30" s="133">
        <v>6.3</v>
      </c>
      <c r="J30" s="210">
        <v>5.6</v>
      </c>
    </row>
    <row r="31" spans="1:10" s="76" customFormat="1" x14ac:dyDescent="0.3">
      <c r="A31" s="227" t="s">
        <v>377</v>
      </c>
      <c r="B31" s="133" t="s">
        <v>377</v>
      </c>
      <c r="C31" s="133" t="s">
        <v>200</v>
      </c>
      <c r="D31" s="133"/>
      <c r="E31" s="133"/>
      <c r="F31" s="133"/>
      <c r="G31" s="133"/>
      <c r="H31" s="133"/>
      <c r="I31" s="133"/>
      <c r="J31" s="210">
        <v>14.3</v>
      </c>
    </row>
    <row r="32" spans="1:10" x14ac:dyDescent="0.3">
      <c r="A32" s="227" t="s">
        <v>178</v>
      </c>
      <c r="B32" s="133" t="s">
        <v>178</v>
      </c>
      <c r="C32" s="133" t="s">
        <v>200</v>
      </c>
      <c r="D32" s="133">
        <v>7.1</v>
      </c>
      <c r="E32" s="133">
        <v>8</v>
      </c>
      <c r="F32" s="133">
        <v>8.4</v>
      </c>
      <c r="G32" s="133">
        <v>8.8000000000000007</v>
      </c>
      <c r="H32" s="133">
        <v>8.6</v>
      </c>
      <c r="I32" s="133">
        <v>7.8</v>
      </c>
      <c r="J32" s="210">
        <v>6.7</v>
      </c>
    </row>
    <row r="33" spans="1:10" x14ac:dyDescent="0.3">
      <c r="A33" s="227" t="s">
        <v>179</v>
      </c>
      <c r="B33" s="133" t="s">
        <v>179</v>
      </c>
      <c r="C33" s="133" t="s">
        <v>200</v>
      </c>
      <c r="D33" s="133">
        <v>7.9</v>
      </c>
      <c r="E33" s="133">
        <v>7.2</v>
      </c>
      <c r="F33" s="133">
        <v>7</v>
      </c>
      <c r="G33" s="133">
        <v>7.2</v>
      </c>
      <c r="H33" s="133">
        <v>6.7</v>
      </c>
      <c r="I33" s="133">
        <v>7.1</v>
      </c>
      <c r="J33" s="210">
        <v>6.6</v>
      </c>
    </row>
    <row r="34" spans="1:10" x14ac:dyDescent="0.3">
      <c r="A34" s="227" t="s">
        <v>180</v>
      </c>
      <c r="B34" s="133" t="s">
        <v>180</v>
      </c>
      <c r="C34" s="133" t="s">
        <v>200</v>
      </c>
      <c r="D34" s="133">
        <v>2.2000000000000002</v>
      </c>
      <c r="E34" s="133">
        <v>2.5</v>
      </c>
      <c r="F34" s="133">
        <v>2.7</v>
      </c>
      <c r="G34" s="133">
        <v>3.4</v>
      </c>
      <c r="H34" s="133">
        <v>3.6</v>
      </c>
      <c r="I34" s="133">
        <v>3.6</v>
      </c>
      <c r="J34" s="210">
        <v>3.6</v>
      </c>
    </row>
    <row r="35" spans="1:10" x14ac:dyDescent="0.3">
      <c r="A35" s="227" t="s">
        <v>181</v>
      </c>
      <c r="B35" s="133" t="s">
        <v>181</v>
      </c>
      <c r="C35" s="133" t="s">
        <v>200</v>
      </c>
      <c r="D35" s="133">
        <v>4.5</v>
      </c>
      <c r="E35" s="133">
        <v>4.7</v>
      </c>
      <c r="F35" s="133">
        <v>4.7</v>
      </c>
      <c r="G35" s="133">
        <v>4.5</v>
      </c>
      <c r="H35" s="133">
        <v>4.4000000000000004</v>
      </c>
      <c r="I35" s="133">
        <v>4.7</v>
      </c>
      <c r="J35" s="210">
        <v>5.6</v>
      </c>
    </row>
    <row r="36" spans="1:10" x14ac:dyDescent="0.3">
      <c r="A36" s="227" t="s">
        <v>182</v>
      </c>
      <c r="B36" s="133" t="s">
        <v>182</v>
      </c>
      <c r="C36" s="133" t="s">
        <v>200</v>
      </c>
      <c r="D36" s="133">
        <v>6.9</v>
      </c>
      <c r="E36" s="133">
        <v>6.4</v>
      </c>
      <c r="F36" s="133">
        <v>6</v>
      </c>
      <c r="G36" s="133">
        <v>6.4</v>
      </c>
      <c r="H36" s="133">
        <v>7.3</v>
      </c>
      <c r="I36" s="133">
        <v>7.3</v>
      </c>
      <c r="J36" s="210">
        <v>7.6</v>
      </c>
    </row>
    <row r="37" spans="1:10" s="76" customFormat="1" x14ac:dyDescent="0.3">
      <c r="A37" s="227" t="s">
        <v>378</v>
      </c>
      <c r="B37" s="133" t="s">
        <v>378</v>
      </c>
      <c r="C37" s="133" t="s">
        <v>200</v>
      </c>
      <c r="D37" s="133"/>
      <c r="E37" s="133"/>
      <c r="F37" s="133"/>
      <c r="G37" s="133"/>
      <c r="H37" s="133"/>
      <c r="I37" s="133"/>
      <c r="J37" s="210">
        <v>25.6</v>
      </c>
    </row>
    <row r="38" spans="1:10" x14ac:dyDescent="0.3">
      <c r="A38" s="113">
        <v>1902</v>
      </c>
      <c r="B38" s="113" t="s">
        <v>10</v>
      </c>
      <c r="C38" s="113" t="s">
        <v>201</v>
      </c>
      <c r="D38" s="209">
        <v>-0.5</v>
      </c>
      <c r="E38" s="209">
        <v>3.1</v>
      </c>
      <c r="F38" s="209">
        <v>4.7</v>
      </c>
      <c r="G38" s="209">
        <v>2.9</v>
      </c>
      <c r="H38" s="209">
        <v>1.6</v>
      </c>
      <c r="I38" s="151">
        <v>0.7</v>
      </c>
      <c r="J38" s="210">
        <v>-1.4</v>
      </c>
    </row>
    <row r="39" spans="1:10" s="72" customFormat="1" x14ac:dyDescent="0.3">
      <c r="A39" s="113">
        <v>1903</v>
      </c>
      <c r="B39" s="115" t="s">
        <v>6</v>
      </c>
      <c r="C39" s="113" t="s">
        <v>201</v>
      </c>
      <c r="D39" s="209">
        <v>1.1000000000000001</v>
      </c>
      <c r="E39" s="209">
        <v>4.4000000000000004</v>
      </c>
      <c r="F39" s="209">
        <v>-1</v>
      </c>
      <c r="G39" s="209">
        <v>-3.6</v>
      </c>
      <c r="H39" s="209">
        <v>2.9</v>
      </c>
      <c r="I39" s="151">
        <v>4</v>
      </c>
      <c r="J39" s="210">
        <v>1.2</v>
      </c>
    </row>
    <row r="40" spans="1:10" x14ac:dyDescent="0.3">
      <c r="A40" s="113">
        <v>1911</v>
      </c>
      <c r="B40" s="113" t="s">
        <v>14</v>
      </c>
      <c r="C40" s="113" t="s">
        <v>201</v>
      </c>
      <c r="D40" s="209">
        <v>-2.5</v>
      </c>
      <c r="E40" s="209">
        <v>-2.5</v>
      </c>
      <c r="F40" s="209">
        <v>3</v>
      </c>
      <c r="G40" s="209">
        <v>0.8</v>
      </c>
      <c r="H40" s="209">
        <v>-1.1000000000000001</v>
      </c>
      <c r="I40" s="151">
        <v>-0.4</v>
      </c>
      <c r="J40" s="210">
        <v>0.3</v>
      </c>
    </row>
    <row r="41" spans="1:10" x14ac:dyDescent="0.3">
      <c r="A41" s="113">
        <v>1913</v>
      </c>
      <c r="B41" s="113" t="s">
        <v>18</v>
      </c>
      <c r="C41" s="113" t="s">
        <v>201</v>
      </c>
      <c r="D41" s="209">
        <v>-2.2999999999999998</v>
      </c>
      <c r="E41" s="209">
        <v>-2.1</v>
      </c>
      <c r="F41" s="209">
        <v>2.6</v>
      </c>
      <c r="G41" s="209">
        <v>2.6</v>
      </c>
      <c r="H41" s="209">
        <v>3.2</v>
      </c>
      <c r="I41" s="151">
        <v>-1</v>
      </c>
      <c r="J41" s="210">
        <v>-0.5</v>
      </c>
    </row>
    <row r="42" spans="1:10" x14ac:dyDescent="0.3">
      <c r="A42" s="113">
        <v>1917</v>
      </c>
      <c r="B42" s="113" t="s">
        <v>21</v>
      </c>
      <c r="C42" s="113" t="s">
        <v>201</v>
      </c>
      <c r="D42" s="209">
        <v>-0.3</v>
      </c>
      <c r="E42" s="209">
        <v>-0.6</v>
      </c>
      <c r="F42" s="209">
        <v>2.2000000000000002</v>
      </c>
      <c r="G42" s="209">
        <v>-1</v>
      </c>
      <c r="H42" s="209">
        <v>5.2</v>
      </c>
      <c r="I42" s="151">
        <v>4</v>
      </c>
      <c r="J42" s="210">
        <v>-2.1</v>
      </c>
    </row>
    <row r="43" spans="1:10" x14ac:dyDescent="0.3">
      <c r="A43" s="113">
        <v>1919</v>
      </c>
      <c r="B43" s="113" t="s">
        <v>24</v>
      </c>
      <c r="C43" s="113" t="s">
        <v>201</v>
      </c>
      <c r="D43" s="209">
        <v>-0.8</v>
      </c>
      <c r="E43" s="209">
        <v>0.2</v>
      </c>
      <c r="F43" s="209">
        <v>-0.3</v>
      </c>
      <c r="G43" s="209">
        <v>3.3</v>
      </c>
      <c r="H43" s="209">
        <v>0.5</v>
      </c>
      <c r="I43" s="151">
        <v>1.2</v>
      </c>
      <c r="J43" s="210">
        <v>1.7</v>
      </c>
    </row>
    <row r="44" spans="1:10" x14ac:dyDescent="0.3">
      <c r="A44" s="113">
        <v>1920</v>
      </c>
      <c r="B44" s="113" t="s">
        <v>27</v>
      </c>
      <c r="C44" s="113" t="s">
        <v>201</v>
      </c>
      <c r="D44" s="209">
        <v>-0.7</v>
      </c>
      <c r="E44" s="209">
        <v>-0.2</v>
      </c>
      <c r="F44" s="209">
        <v>10.9</v>
      </c>
      <c r="G44" s="209">
        <v>6.5</v>
      </c>
      <c r="H44" s="209">
        <v>8</v>
      </c>
      <c r="I44" s="151">
        <v>4.2</v>
      </c>
      <c r="J44" s="210">
        <v>2.8</v>
      </c>
    </row>
    <row r="45" spans="1:10" x14ac:dyDescent="0.3">
      <c r="A45" s="113">
        <v>1922</v>
      </c>
      <c r="B45" s="113" t="s">
        <v>30</v>
      </c>
      <c r="C45" s="113" t="s">
        <v>201</v>
      </c>
      <c r="D45" s="209">
        <v>-4.5</v>
      </c>
      <c r="E45" s="209">
        <v>2.2000000000000002</v>
      </c>
      <c r="F45" s="209">
        <v>-3.9</v>
      </c>
      <c r="G45" s="209">
        <v>1.7</v>
      </c>
      <c r="H45" s="209">
        <v>4.4000000000000004</v>
      </c>
      <c r="I45" s="151">
        <v>1</v>
      </c>
      <c r="J45" s="210">
        <v>0.7</v>
      </c>
    </row>
    <row r="46" spans="1:10" x14ac:dyDescent="0.3">
      <c r="A46" s="113">
        <v>1923</v>
      </c>
      <c r="B46" s="113" t="s">
        <v>34</v>
      </c>
      <c r="C46" s="113" t="s">
        <v>201</v>
      </c>
      <c r="D46" s="209">
        <v>0.6</v>
      </c>
      <c r="E46" s="209">
        <v>2.5</v>
      </c>
      <c r="F46" s="209">
        <v>-2.5</v>
      </c>
      <c r="G46" s="209">
        <v>-1.1000000000000001</v>
      </c>
      <c r="H46" s="209">
        <v>2.2000000000000002</v>
      </c>
      <c r="I46" s="151">
        <v>3.9</v>
      </c>
      <c r="J46" s="210">
        <v>1.5</v>
      </c>
    </row>
    <row r="47" spans="1:10" x14ac:dyDescent="0.3">
      <c r="A47" s="113">
        <v>1924</v>
      </c>
      <c r="B47" s="113" t="s">
        <v>36</v>
      </c>
      <c r="C47" s="113" t="s">
        <v>201</v>
      </c>
      <c r="D47" s="209">
        <v>-1.3</v>
      </c>
      <c r="E47" s="209">
        <v>2.2999999999999998</v>
      </c>
      <c r="F47" s="209">
        <v>0.4</v>
      </c>
      <c r="G47" s="209">
        <v>0.3</v>
      </c>
      <c r="H47" s="209">
        <v>2.4</v>
      </c>
      <c r="I47" s="151">
        <v>0.3</v>
      </c>
      <c r="J47" s="210">
        <v>2.2000000000000002</v>
      </c>
    </row>
    <row r="48" spans="1:10" x14ac:dyDescent="0.3">
      <c r="A48" s="113">
        <v>1925</v>
      </c>
      <c r="B48" s="113" t="s">
        <v>39</v>
      </c>
      <c r="C48" s="113" t="s">
        <v>201</v>
      </c>
      <c r="D48" s="209">
        <v>-2.5</v>
      </c>
      <c r="E48" s="209">
        <v>0.4</v>
      </c>
      <c r="F48" s="209">
        <v>2.8</v>
      </c>
      <c r="G48" s="209">
        <v>3.1</v>
      </c>
      <c r="H48" s="209">
        <v>3.4</v>
      </c>
      <c r="I48" s="151">
        <v>2</v>
      </c>
      <c r="J48" s="210">
        <v>-1.8</v>
      </c>
    </row>
    <row r="49" spans="1:10" x14ac:dyDescent="0.3">
      <c r="A49" s="113">
        <v>1926</v>
      </c>
      <c r="B49" s="113" t="s">
        <v>42</v>
      </c>
      <c r="C49" s="113" t="s">
        <v>201</v>
      </c>
      <c r="D49" s="209">
        <v>5.0999999999999996</v>
      </c>
      <c r="E49" s="209">
        <v>5.9</v>
      </c>
      <c r="F49" s="209">
        <v>2.5</v>
      </c>
      <c r="G49" s="209">
        <v>6.3</v>
      </c>
      <c r="H49" s="209">
        <v>3.5</v>
      </c>
      <c r="I49" s="151">
        <v>2.4</v>
      </c>
      <c r="J49" s="210">
        <v>1.7</v>
      </c>
    </row>
    <row r="50" spans="1:10" x14ac:dyDescent="0.3">
      <c r="A50" s="113">
        <v>1927</v>
      </c>
      <c r="B50" s="113" t="s">
        <v>45</v>
      </c>
      <c r="C50" s="113" t="s">
        <v>201</v>
      </c>
      <c r="D50" s="209">
        <v>1.8</v>
      </c>
      <c r="E50" s="209">
        <v>5</v>
      </c>
      <c r="F50" s="209">
        <v>3.4</v>
      </c>
      <c r="G50" s="209">
        <v>2.4</v>
      </c>
      <c r="H50" s="209">
        <v>-0.4</v>
      </c>
      <c r="I50" s="151">
        <v>0.7</v>
      </c>
      <c r="J50" s="210">
        <v>3.2</v>
      </c>
    </row>
    <row r="51" spans="1:10" x14ac:dyDescent="0.3">
      <c r="A51" s="113">
        <v>1928</v>
      </c>
      <c r="B51" s="113" t="s">
        <v>49</v>
      </c>
      <c r="C51" s="113" t="s">
        <v>201</v>
      </c>
      <c r="D51" s="211" t="s">
        <v>110</v>
      </c>
      <c r="E51" s="211" t="s">
        <v>110</v>
      </c>
      <c r="F51" s="211" t="s">
        <v>110</v>
      </c>
      <c r="G51" s="211" t="s">
        <v>110</v>
      </c>
      <c r="H51" s="211">
        <v>1.2</v>
      </c>
      <c r="I51" s="151">
        <v>4</v>
      </c>
      <c r="J51" s="210">
        <v>2.1</v>
      </c>
    </row>
    <row r="52" spans="1:10" x14ac:dyDescent="0.3">
      <c r="A52" s="113">
        <v>1929</v>
      </c>
      <c r="B52" s="113" t="s">
        <v>53</v>
      </c>
      <c r="C52" s="113" t="s">
        <v>201</v>
      </c>
      <c r="D52" s="209">
        <v>0.6</v>
      </c>
      <c r="E52" s="209">
        <v>1.4</v>
      </c>
      <c r="F52" s="209">
        <v>8</v>
      </c>
      <c r="G52" s="209">
        <v>5.7</v>
      </c>
      <c r="H52" s="211">
        <v>2.8</v>
      </c>
      <c r="I52" s="151">
        <v>7.6</v>
      </c>
      <c r="J52" s="210">
        <v>2.9</v>
      </c>
    </row>
    <row r="53" spans="1:10" x14ac:dyDescent="0.3">
      <c r="A53" s="113">
        <v>1931</v>
      </c>
      <c r="B53" s="113" t="s">
        <v>56</v>
      </c>
      <c r="C53" s="113" t="s">
        <v>201</v>
      </c>
      <c r="D53" s="209">
        <v>-1.2</v>
      </c>
      <c r="E53" s="209">
        <v>-2.4</v>
      </c>
      <c r="F53" s="209">
        <v>4</v>
      </c>
      <c r="G53" s="209">
        <v>-2.1</v>
      </c>
      <c r="H53" s="209">
        <v>2.2000000000000002</v>
      </c>
      <c r="I53" s="151">
        <v>0</v>
      </c>
      <c r="J53" s="210">
        <v>1.3</v>
      </c>
    </row>
    <row r="54" spans="1:10" x14ac:dyDescent="0.3">
      <c r="A54" s="113">
        <v>1933</v>
      </c>
      <c r="B54" s="113" t="s">
        <v>60</v>
      </c>
      <c r="C54" s="113" t="s">
        <v>201</v>
      </c>
      <c r="D54" s="209">
        <v>1.4</v>
      </c>
      <c r="E54" s="209">
        <v>6.6</v>
      </c>
      <c r="F54" s="209">
        <v>4.9000000000000004</v>
      </c>
      <c r="G54" s="209">
        <v>4.5999999999999996</v>
      </c>
      <c r="H54" s="209">
        <v>1.8</v>
      </c>
      <c r="I54" s="151">
        <v>0.9</v>
      </c>
      <c r="J54" s="210">
        <v>2.9</v>
      </c>
    </row>
    <row r="55" spans="1:10" x14ac:dyDescent="0.3">
      <c r="A55" s="113">
        <v>1936</v>
      </c>
      <c r="B55" s="113" t="s">
        <v>62</v>
      </c>
      <c r="C55" s="113" t="s">
        <v>201</v>
      </c>
      <c r="D55" s="209">
        <v>-1.2</v>
      </c>
      <c r="E55" s="209">
        <v>1.8</v>
      </c>
      <c r="F55" s="209">
        <v>3.6</v>
      </c>
      <c r="G55" s="209">
        <v>-0.4</v>
      </c>
      <c r="H55" s="209">
        <v>2.4</v>
      </c>
      <c r="I55" s="151">
        <v>2.8</v>
      </c>
      <c r="J55" s="210">
        <v>0.9</v>
      </c>
    </row>
    <row r="56" spans="1:10" x14ac:dyDescent="0.3">
      <c r="A56" s="113">
        <v>1938</v>
      </c>
      <c r="B56" s="113" t="s">
        <v>66</v>
      </c>
      <c r="C56" s="113" t="s">
        <v>201</v>
      </c>
      <c r="D56" s="209">
        <v>-0.4</v>
      </c>
      <c r="E56" s="209">
        <v>0.6</v>
      </c>
      <c r="F56" s="209">
        <v>11.7</v>
      </c>
      <c r="G56" s="209">
        <v>8.4</v>
      </c>
      <c r="H56" s="209">
        <v>2.2999999999999998</v>
      </c>
      <c r="I56" s="151">
        <v>1.6</v>
      </c>
      <c r="J56" s="210">
        <v>1.1000000000000001</v>
      </c>
    </row>
    <row r="57" spans="1:10" x14ac:dyDescent="0.3">
      <c r="A57" s="113">
        <v>1939</v>
      </c>
      <c r="B57" s="113" t="s">
        <v>70</v>
      </c>
      <c r="C57" s="113" t="s">
        <v>201</v>
      </c>
      <c r="D57" s="209">
        <v>-0.3</v>
      </c>
      <c r="E57" s="209">
        <v>1.1000000000000001</v>
      </c>
      <c r="F57" s="209">
        <v>-5.7</v>
      </c>
      <c r="G57" s="211">
        <v>-1.3</v>
      </c>
      <c r="H57" s="209">
        <v>-1.4</v>
      </c>
      <c r="I57" s="151">
        <v>2.2000000000000002</v>
      </c>
      <c r="J57" s="210">
        <v>5</v>
      </c>
    </row>
    <row r="58" spans="1:10" x14ac:dyDescent="0.3">
      <c r="A58" s="113">
        <v>1940</v>
      </c>
      <c r="B58" s="113" t="s">
        <v>95</v>
      </c>
      <c r="C58" s="113" t="s">
        <v>201</v>
      </c>
      <c r="D58" s="209">
        <v>-2.7</v>
      </c>
      <c r="E58" s="209">
        <v>7.5</v>
      </c>
      <c r="F58" s="209">
        <v>-0.5</v>
      </c>
      <c r="G58" s="209">
        <v>1</v>
      </c>
      <c r="H58" s="209">
        <v>2.2999999999999998</v>
      </c>
      <c r="I58" s="151">
        <v>2.6</v>
      </c>
      <c r="J58" s="210">
        <v>1.7</v>
      </c>
    </row>
    <row r="59" spans="1:10" x14ac:dyDescent="0.3">
      <c r="A59" s="113">
        <v>1941</v>
      </c>
      <c r="B59" s="113" t="s">
        <v>77</v>
      </c>
      <c r="C59" s="113" t="s">
        <v>201</v>
      </c>
      <c r="D59" s="209">
        <v>-1.7</v>
      </c>
      <c r="E59" s="209">
        <v>2.9</v>
      </c>
      <c r="F59" s="209">
        <v>-1.6</v>
      </c>
      <c r="G59" s="209">
        <v>0.3</v>
      </c>
      <c r="H59" s="209">
        <v>1.6</v>
      </c>
      <c r="I59" s="151">
        <v>3.5</v>
      </c>
      <c r="J59" s="210">
        <v>0.1</v>
      </c>
    </row>
    <row r="60" spans="1:10" x14ac:dyDescent="0.3">
      <c r="A60" s="113">
        <v>1942</v>
      </c>
      <c r="B60" s="113" t="s">
        <v>81</v>
      </c>
      <c r="C60" s="113" t="s">
        <v>201</v>
      </c>
      <c r="D60" s="209">
        <v>-3.4</v>
      </c>
      <c r="E60" s="209">
        <v>-1</v>
      </c>
      <c r="F60" s="209">
        <v>-1.6</v>
      </c>
      <c r="G60" s="209">
        <v>2.2000000000000002</v>
      </c>
      <c r="H60" s="209">
        <v>3.1</v>
      </c>
      <c r="I60" s="151">
        <v>4.2</v>
      </c>
      <c r="J60" s="210">
        <v>-0.3</v>
      </c>
    </row>
    <row r="61" spans="1:10" x14ac:dyDescent="0.3">
      <c r="A61" s="113">
        <v>1943</v>
      </c>
      <c r="B61" s="113" t="s">
        <v>84</v>
      </c>
      <c r="C61" s="113" t="s">
        <v>201</v>
      </c>
      <c r="D61" s="209">
        <v>2.2999999999999998</v>
      </c>
      <c r="E61" s="209">
        <v>2.1</v>
      </c>
      <c r="F61" s="209">
        <v>-0.8</v>
      </c>
      <c r="G61" s="209">
        <v>4.4000000000000004</v>
      </c>
      <c r="H61" s="209">
        <v>21.9</v>
      </c>
      <c r="I61" s="151">
        <v>4.2</v>
      </c>
      <c r="J61" s="210">
        <v>-6.1</v>
      </c>
    </row>
    <row r="62" spans="1:10" x14ac:dyDescent="0.3">
      <c r="A62" s="227" t="s">
        <v>197</v>
      </c>
      <c r="B62" s="227" t="s">
        <v>174</v>
      </c>
      <c r="C62" s="228" t="s">
        <v>201</v>
      </c>
      <c r="D62" s="212">
        <v>-0.4</v>
      </c>
      <c r="E62" s="212">
        <v>3</v>
      </c>
      <c r="F62" s="212">
        <v>2.5</v>
      </c>
      <c r="G62" s="212">
        <v>2.1</v>
      </c>
      <c r="H62" s="212">
        <v>2.9</v>
      </c>
      <c r="I62" s="151">
        <v>2.7</v>
      </c>
      <c r="J62" s="210">
        <v>1.2</v>
      </c>
    </row>
    <row r="63" spans="1:10" x14ac:dyDescent="0.3">
      <c r="A63" s="227" t="s">
        <v>175</v>
      </c>
      <c r="B63" s="227" t="s">
        <v>198</v>
      </c>
      <c r="C63" s="228" t="s">
        <v>201</v>
      </c>
      <c r="D63" s="212">
        <v>-0.6</v>
      </c>
      <c r="E63" s="212">
        <v>2.2999999999999998</v>
      </c>
      <c r="F63" s="212">
        <v>2.6</v>
      </c>
      <c r="G63" s="212">
        <v>1.4</v>
      </c>
      <c r="H63" s="212">
        <v>2.4</v>
      </c>
      <c r="I63" s="151">
        <v>1.7</v>
      </c>
      <c r="J63" s="210">
        <v>0.1</v>
      </c>
    </row>
    <row r="64" spans="1:10" x14ac:dyDescent="0.3">
      <c r="A64" s="227" t="s">
        <v>176</v>
      </c>
      <c r="B64" s="227" t="s">
        <v>176</v>
      </c>
      <c r="C64" s="228" t="s">
        <v>201</v>
      </c>
      <c r="D64" s="212">
        <v>0.2</v>
      </c>
      <c r="E64" s="212">
        <v>3.7</v>
      </c>
      <c r="F64" s="212">
        <v>2.7</v>
      </c>
      <c r="G64" s="212">
        <v>2.1</v>
      </c>
      <c r="H64" s="212">
        <v>2.2999999999999998</v>
      </c>
      <c r="I64" s="151">
        <v>2.4</v>
      </c>
      <c r="J64" s="210">
        <v>0.6</v>
      </c>
    </row>
    <row r="65" spans="1:10" x14ac:dyDescent="0.3">
      <c r="A65" s="227" t="s">
        <v>177</v>
      </c>
      <c r="B65" s="227" t="s">
        <v>177</v>
      </c>
      <c r="C65" s="228" t="s">
        <v>201</v>
      </c>
      <c r="D65" s="212">
        <v>1.6</v>
      </c>
      <c r="E65" s="212">
        <v>3.7</v>
      </c>
      <c r="F65" s="212">
        <v>3</v>
      </c>
      <c r="G65" s="212">
        <v>3.1</v>
      </c>
      <c r="H65" s="212">
        <v>3.1</v>
      </c>
      <c r="I65" s="151">
        <v>3.3</v>
      </c>
      <c r="J65" s="210">
        <v>1.7</v>
      </c>
    </row>
    <row r="66" spans="1:10" s="76" customFormat="1" x14ac:dyDescent="0.3">
      <c r="A66" s="227" t="s">
        <v>377</v>
      </c>
      <c r="B66" s="227" t="s">
        <v>377</v>
      </c>
      <c r="C66" s="228" t="s">
        <v>201</v>
      </c>
      <c r="D66" s="212"/>
      <c r="E66" s="212"/>
      <c r="F66" s="212"/>
      <c r="G66" s="212"/>
      <c r="H66" s="212"/>
      <c r="I66" s="151"/>
      <c r="J66" s="210">
        <v>3.1</v>
      </c>
    </row>
    <row r="67" spans="1:10" x14ac:dyDescent="0.3">
      <c r="A67" s="227" t="s">
        <v>178</v>
      </c>
      <c r="B67" s="227" t="s">
        <v>178</v>
      </c>
      <c r="C67" s="228" t="s">
        <v>201</v>
      </c>
      <c r="D67" s="212">
        <v>-1.1000000000000001</v>
      </c>
      <c r="E67" s="212">
        <v>4.5</v>
      </c>
      <c r="F67" s="212">
        <v>4.5</v>
      </c>
      <c r="G67" s="212">
        <v>2.2999999999999998</v>
      </c>
      <c r="H67" s="212">
        <v>2.4</v>
      </c>
      <c r="I67" s="151">
        <v>3.3</v>
      </c>
      <c r="J67" s="210">
        <v>1.5</v>
      </c>
    </row>
    <row r="68" spans="1:10" x14ac:dyDescent="0.3">
      <c r="A68" s="227" t="s">
        <v>179</v>
      </c>
      <c r="B68" s="227" t="s">
        <v>179</v>
      </c>
      <c r="C68" s="228" t="s">
        <v>201</v>
      </c>
      <c r="D68" s="212">
        <v>1.6</v>
      </c>
      <c r="E68" s="212">
        <v>5.7</v>
      </c>
      <c r="F68" s="212">
        <v>3.3</v>
      </c>
      <c r="G68" s="212">
        <v>3.1</v>
      </c>
      <c r="H68" s="212">
        <v>3.5</v>
      </c>
      <c r="I68" s="151">
        <v>2.6</v>
      </c>
      <c r="J68" s="210">
        <v>2.2000000000000002</v>
      </c>
    </row>
    <row r="69" spans="1:10" x14ac:dyDescent="0.3">
      <c r="A69" s="227" t="s">
        <v>180</v>
      </c>
      <c r="B69" s="227" t="s">
        <v>180</v>
      </c>
      <c r="C69" s="228" t="s">
        <v>201</v>
      </c>
      <c r="D69" s="212">
        <v>-2.4</v>
      </c>
      <c r="E69" s="212">
        <v>2.4</v>
      </c>
      <c r="F69" s="212">
        <v>2.4</v>
      </c>
      <c r="G69" s="212">
        <v>1.8</v>
      </c>
      <c r="H69" s="212">
        <v>2.2000000000000002</v>
      </c>
      <c r="I69" s="151">
        <v>1.8</v>
      </c>
      <c r="J69" s="210">
        <v>0.7</v>
      </c>
    </row>
    <row r="70" spans="1:10" x14ac:dyDescent="0.3">
      <c r="A70" s="227" t="s">
        <v>181</v>
      </c>
      <c r="B70" s="227" t="s">
        <v>181</v>
      </c>
      <c r="C70" s="228" t="s">
        <v>201</v>
      </c>
      <c r="D70" s="212">
        <v>2.1</v>
      </c>
      <c r="E70" s="212">
        <v>2.6</v>
      </c>
      <c r="F70" s="212">
        <v>1.8</v>
      </c>
      <c r="G70" s="212">
        <v>2.1</v>
      </c>
      <c r="H70" s="212">
        <v>1.1000000000000001</v>
      </c>
      <c r="I70" s="151">
        <v>1.9</v>
      </c>
      <c r="J70" s="210">
        <v>1.8</v>
      </c>
    </row>
    <row r="71" spans="1:10" x14ac:dyDescent="0.3">
      <c r="A71" s="227" t="s">
        <v>182</v>
      </c>
      <c r="B71" s="227" t="s">
        <v>182</v>
      </c>
      <c r="C71" s="228" t="s">
        <v>201</v>
      </c>
      <c r="D71" s="212">
        <v>-0.4</v>
      </c>
      <c r="E71" s="212">
        <v>2.8</v>
      </c>
      <c r="F71" s="212">
        <v>2.2999999999999998</v>
      </c>
      <c r="G71" s="212">
        <v>1.8</v>
      </c>
      <c r="H71" s="212">
        <v>3</v>
      </c>
      <c r="I71" s="151">
        <v>2.7</v>
      </c>
      <c r="J71" s="210">
        <v>1.3</v>
      </c>
    </row>
    <row r="72" spans="1:10" s="76" customFormat="1" x14ac:dyDescent="0.3">
      <c r="A72" s="227" t="s">
        <v>378</v>
      </c>
      <c r="B72" s="227" t="s">
        <v>378</v>
      </c>
      <c r="C72" s="228" t="s">
        <v>201</v>
      </c>
      <c r="D72" s="212"/>
      <c r="E72" s="212"/>
      <c r="F72" s="212"/>
      <c r="G72" s="212"/>
      <c r="H72" s="212"/>
      <c r="I72" s="151"/>
      <c r="J72" s="210">
        <v>9</v>
      </c>
    </row>
    <row r="73" spans="1:10" x14ac:dyDescent="0.3">
      <c r="A73" s="113">
        <v>1902</v>
      </c>
      <c r="B73" s="113" t="s">
        <v>10</v>
      </c>
      <c r="C73" s="113" t="s">
        <v>202</v>
      </c>
      <c r="D73" s="209">
        <v>113.4</v>
      </c>
      <c r="E73" s="209">
        <v>109.4</v>
      </c>
      <c r="F73" s="209">
        <v>109.1</v>
      </c>
      <c r="G73" s="209">
        <v>101.5</v>
      </c>
      <c r="H73" s="209">
        <v>100.7</v>
      </c>
      <c r="I73" s="151">
        <v>97.6</v>
      </c>
      <c r="J73" s="210">
        <v>99.6</v>
      </c>
    </row>
    <row r="74" spans="1:10" s="72" customFormat="1" x14ac:dyDescent="0.3">
      <c r="A74" s="113">
        <v>1903</v>
      </c>
      <c r="B74" s="115" t="s">
        <v>6</v>
      </c>
      <c r="C74" s="113" t="s">
        <v>202</v>
      </c>
      <c r="D74" s="209">
        <v>82.6</v>
      </c>
      <c r="E74" s="209">
        <v>84.7</v>
      </c>
      <c r="F74" s="209">
        <v>97.2</v>
      </c>
      <c r="G74" s="209">
        <v>103</v>
      </c>
      <c r="H74" s="209">
        <v>99.9</v>
      </c>
      <c r="I74" s="151">
        <v>110.1</v>
      </c>
      <c r="J74" s="210">
        <v>113.3</v>
      </c>
    </row>
    <row r="75" spans="1:10" x14ac:dyDescent="0.3">
      <c r="A75" s="113">
        <v>1911</v>
      </c>
      <c r="B75" s="113" t="s">
        <v>14</v>
      </c>
      <c r="C75" s="113" t="s">
        <v>202</v>
      </c>
      <c r="D75" s="209">
        <v>37.200000000000003</v>
      </c>
      <c r="E75" s="209">
        <v>36.200000000000003</v>
      </c>
      <c r="F75" s="209">
        <v>36.9</v>
      </c>
      <c r="G75" s="209">
        <v>40.700000000000003</v>
      </c>
      <c r="H75" s="209">
        <v>42.8</v>
      </c>
      <c r="I75" s="151">
        <v>40.799999999999997</v>
      </c>
      <c r="J75" s="210">
        <v>38.5</v>
      </c>
    </row>
    <row r="76" spans="1:10" x14ac:dyDescent="0.3">
      <c r="A76" s="113">
        <v>1913</v>
      </c>
      <c r="B76" s="113" t="s">
        <v>18</v>
      </c>
      <c r="C76" s="113" t="s">
        <v>202</v>
      </c>
      <c r="D76" s="209">
        <v>81.8</v>
      </c>
      <c r="E76" s="209">
        <v>75.099999999999994</v>
      </c>
      <c r="F76" s="209">
        <v>86.1</v>
      </c>
      <c r="G76" s="209">
        <v>89.2</v>
      </c>
      <c r="H76" s="209">
        <v>90.3</v>
      </c>
      <c r="I76" s="151">
        <v>87.9</v>
      </c>
      <c r="J76" s="210">
        <v>91.3</v>
      </c>
    </row>
    <row r="77" spans="1:10" x14ac:dyDescent="0.3">
      <c r="A77" s="113">
        <v>1917</v>
      </c>
      <c r="B77" s="113" t="s">
        <v>21</v>
      </c>
      <c r="C77" s="113" t="s">
        <v>202</v>
      </c>
      <c r="D77" s="209">
        <v>41.2</v>
      </c>
      <c r="E77" s="209">
        <v>43</v>
      </c>
      <c r="F77" s="209">
        <v>45.7</v>
      </c>
      <c r="G77" s="209">
        <v>42.8</v>
      </c>
      <c r="H77" s="209">
        <v>40.1</v>
      </c>
      <c r="I77" s="151">
        <v>38.1</v>
      </c>
      <c r="J77" s="210">
        <v>42.6</v>
      </c>
    </row>
    <row r="78" spans="1:10" x14ac:dyDescent="0.3">
      <c r="A78" s="113">
        <v>1919</v>
      </c>
      <c r="B78" s="113" t="s">
        <v>24</v>
      </c>
      <c r="C78" s="113" t="s">
        <v>202</v>
      </c>
      <c r="D78" s="209">
        <v>78.599999999999994</v>
      </c>
      <c r="E78" s="209">
        <v>76.5</v>
      </c>
      <c r="F78" s="209">
        <v>80.599999999999994</v>
      </c>
      <c r="G78" s="209">
        <v>95.5</v>
      </c>
      <c r="H78" s="209">
        <v>95.8</v>
      </c>
      <c r="I78" s="151">
        <v>92.5</v>
      </c>
      <c r="J78" s="210">
        <v>79.900000000000006</v>
      </c>
    </row>
    <row r="79" spans="1:10" x14ac:dyDescent="0.3">
      <c r="A79" s="113">
        <v>1920</v>
      </c>
      <c r="B79" s="113" t="s">
        <v>27</v>
      </c>
      <c r="C79" s="113" t="s">
        <v>202</v>
      </c>
      <c r="D79" s="209">
        <v>37.1</v>
      </c>
      <c r="E79" s="209">
        <v>39.299999999999997</v>
      </c>
      <c r="F79" s="209">
        <v>51.5</v>
      </c>
      <c r="G79" s="209">
        <v>51.9</v>
      </c>
      <c r="H79" s="209">
        <v>58.1</v>
      </c>
      <c r="I79" s="151">
        <v>43.5</v>
      </c>
      <c r="J79" s="210">
        <v>52.9</v>
      </c>
    </row>
    <row r="80" spans="1:10" x14ac:dyDescent="0.3">
      <c r="A80" s="113">
        <v>1922</v>
      </c>
      <c r="B80" s="113" t="s">
        <v>30</v>
      </c>
      <c r="C80" s="113" t="s">
        <v>202</v>
      </c>
      <c r="D80" s="209">
        <v>77.3</v>
      </c>
      <c r="E80" s="209">
        <v>80.8</v>
      </c>
      <c r="F80" s="209">
        <v>75.3</v>
      </c>
      <c r="G80" s="209">
        <v>79.400000000000006</v>
      </c>
      <c r="H80" s="209">
        <v>78.5</v>
      </c>
      <c r="I80" s="151">
        <v>81.7</v>
      </c>
      <c r="J80" s="210">
        <v>69.400000000000006</v>
      </c>
    </row>
    <row r="81" spans="1:10" x14ac:dyDescent="0.3">
      <c r="A81" s="113">
        <v>1923</v>
      </c>
      <c r="B81" s="113" t="s">
        <v>34</v>
      </c>
      <c r="C81" s="113" t="s">
        <v>202</v>
      </c>
      <c r="D81" s="209">
        <v>65.2</v>
      </c>
      <c r="E81" s="209">
        <v>73.7</v>
      </c>
      <c r="F81" s="209">
        <v>70.7</v>
      </c>
      <c r="G81" s="209">
        <v>64.8</v>
      </c>
      <c r="H81" s="209">
        <v>70.3</v>
      </c>
      <c r="I81" s="151">
        <v>83.4</v>
      </c>
      <c r="J81" s="210">
        <v>96.9</v>
      </c>
    </row>
    <row r="82" spans="1:10" x14ac:dyDescent="0.3">
      <c r="A82" s="113">
        <v>1924</v>
      </c>
      <c r="B82" s="113" t="s">
        <v>36</v>
      </c>
      <c r="C82" s="113" t="s">
        <v>202</v>
      </c>
      <c r="D82" s="209">
        <v>79.099999999999994</v>
      </c>
      <c r="E82" s="209">
        <v>77.3</v>
      </c>
      <c r="F82" s="209">
        <v>72.900000000000006</v>
      </c>
      <c r="G82" s="209">
        <v>74.099999999999994</v>
      </c>
      <c r="H82" s="209">
        <v>72.2</v>
      </c>
      <c r="I82" s="151">
        <v>72.599999999999994</v>
      </c>
      <c r="J82" s="210">
        <v>74.8</v>
      </c>
    </row>
    <row r="83" spans="1:10" x14ac:dyDescent="0.3">
      <c r="A83" s="113">
        <v>1925</v>
      </c>
      <c r="B83" s="113" t="s">
        <v>39</v>
      </c>
      <c r="C83" s="113" t="s">
        <v>202</v>
      </c>
      <c r="D83" s="209">
        <v>109</v>
      </c>
      <c r="E83" s="209">
        <v>105</v>
      </c>
      <c r="F83" s="209">
        <v>103.2</v>
      </c>
      <c r="G83" s="209">
        <v>100.3</v>
      </c>
      <c r="H83" s="209">
        <v>91.7</v>
      </c>
      <c r="I83" s="151">
        <v>85.2</v>
      </c>
      <c r="J83" s="210">
        <v>79.099999999999994</v>
      </c>
    </row>
    <row r="84" spans="1:10" x14ac:dyDescent="0.3">
      <c r="A84" s="113">
        <v>1926</v>
      </c>
      <c r="B84" s="113" t="s">
        <v>42</v>
      </c>
      <c r="C84" s="113" t="s">
        <v>202</v>
      </c>
      <c r="D84" s="209">
        <v>71.5</v>
      </c>
      <c r="E84" s="209">
        <v>70.2</v>
      </c>
      <c r="F84" s="209">
        <v>67.900000000000006</v>
      </c>
      <c r="G84" s="209">
        <v>71.8</v>
      </c>
      <c r="H84" s="209">
        <v>75</v>
      </c>
      <c r="I84" s="151">
        <v>76</v>
      </c>
      <c r="J84" s="210">
        <v>77.099999999999994</v>
      </c>
    </row>
    <row r="85" spans="1:10" x14ac:dyDescent="0.3">
      <c r="A85" s="113">
        <v>1927</v>
      </c>
      <c r="B85" s="113" t="s">
        <v>45</v>
      </c>
      <c r="C85" s="113" t="s">
        <v>202</v>
      </c>
      <c r="D85" s="209">
        <v>58.2</v>
      </c>
      <c r="E85" s="209">
        <v>54.5</v>
      </c>
      <c r="F85" s="209">
        <v>59</v>
      </c>
      <c r="G85" s="209">
        <v>61.7</v>
      </c>
      <c r="H85" s="209">
        <v>64.099999999999994</v>
      </c>
      <c r="I85" s="151">
        <v>63.4</v>
      </c>
      <c r="J85" s="210">
        <v>59.3</v>
      </c>
    </row>
    <row r="86" spans="1:10" x14ac:dyDescent="0.3">
      <c r="A86" s="113">
        <v>1928</v>
      </c>
      <c r="B86" s="113" t="s">
        <v>49</v>
      </c>
      <c r="C86" s="113" t="s">
        <v>202</v>
      </c>
      <c r="D86" s="211" t="s">
        <v>110</v>
      </c>
      <c r="E86" s="211" t="s">
        <v>110</v>
      </c>
      <c r="F86" s="211" t="s">
        <v>110</v>
      </c>
      <c r="G86" s="211" t="s">
        <v>110</v>
      </c>
      <c r="H86" s="211">
        <v>79.5</v>
      </c>
      <c r="I86" s="151">
        <v>68.900000000000006</v>
      </c>
      <c r="J86" s="210">
        <v>67.599999999999994</v>
      </c>
    </row>
    <row r="87" spans="1:10" x14ac:dyDescent="0.3">
      <c r="A87" s="113">
        <v>1929</v>
      </c>
      <c r="B87" s="113" t="s">
        <v>53</v>
      </c>
      <c r="C87" s="113" t="s">
        <v>202</v>
      </c>
      <c r="D87" s="209">
        <v>80.099999999999994</v>
      </c>
      <c r="E87" s="209">
        <v>80.400000000000006</v>
      </c>
      <c r="F87" s="209">
        <v>81.2</v>
      </c>
      <c r="G87" s="209">
        <v>73.099999999999994</v>
      </c>
      <c r="H87" s="213">
        <v>66.2</v>
      </c>
      <c r="I87" s="151">
        <v>60.6</v>
      </c>
      <c r="J87" s="210">
        <v>75.5</v>
      </c>
    </row>
    <row r="88" spans="1:10" x14ac:dyDescent="0.3">
      <c r="A88" s="113">
        <v>1931</v>
      </c>
      <c r="B88" s="113" t="s">
        <v>56</v>
      </c>
      <c r="C88" s="113" t="s">
        <v>202</v>
      </c>
      <c r="D88" s="209">
        <v>81</v>
      </c>
      <c r="E88" s="209">
        <v>82.2</v>
      </c>
      <c r="F88" s="209">
        <v>92.1</v>
      </c>
      <c r="G88" s="209">
        <v>92.6</v>
      </c>
      <c r="H88" s="209">
        <v>88.6</v>
      </c>
      <c r="I88" s="151">
        <v>89.8</v>
      </c>
      <c r="J88" s="210">
        <v>90.3</v>
      </c>
    </row>
    <row r="89" spans="1:10" x14ac:dyDescent="0.3">
      <c r="A89" s="113">
        <v>1933</v>
      </c>
      <c r="B89" s="113" t="s">
        <v>60</v>
      </c>
      <c r="C89" s="113" t="s">
        <v>202</v>
      </c>
      <c r="D89" s="209">
        <v>76.3</v>
      </c>
      <c r="E89" s="209">
        <v>87.4</v>
      </c>
      <c r="F89" s="209">
        <v>87.9</v>
      </c>
      <c r="G89" s="209">
        <v>84.5</v>
      </c>
      <c r="H89" s="209">
        <v>80.5</v>
      </c>
      <c r="I89" s="151">
        <v>85</v>
      </c>
      <c r="J89" s="210">
        <v>84.3</v>
      </c>
    </row>
    <row r="90" spans="1:10" x14ac:dyDescent="0.3">
      <c r="A90" s="113">
        <v>1936</v>
      </c>
      <c r="B90" s="113" t="s">
        <v>62</v>
      </c>
      <c r="C90" s="113" t="s">
        <v>202</v>
      </c>
      <c r="D90" s="209">
        <v>99.8</v>
      </c>
      <c r="E90" s="209">
        <v>89</v>
      </c>
      <c r="F90" s="209">
        <v>83</v>
      </c>
      <c r="G90" s="209">
        <v>75.2</v>
      </c>
      <c r="H90" s="209">
        <v>75</v>
      </c>
      <c r="I90" s="151">
        <v>71</v>
      </c>
      <c r="J90" s="210">
        <v>85.6</v>
      </c>
    </row>
    <row r="91" spans="1:10" x14ac:dyDescent="0.3">
      <c r="A91" s="113">
        <v>1938</v>
      </c>
      <c r="B91" s="113" t="s">
        <v>66</v>
      </c>
      <c r="C91" s="113" t="s">
        <v>202</v>
      </c>
      <c r="D91" s="209">
        <v>97.4</v>
      </c>
      <c r="E91" s="209">
        <v>98.8</v>
      </c>
      <c r="F91" s="209">
        <v>119.8</v>
      </c>
      <c r="G91" s="209">
        <v>134.80000000000001</v>
      </c>
      <c r="H91" s="209">
        <v>134.9</v>
      </c>
      <c r="I91" s="151">
        <v>125.7</v>
      </c>
      <c r="J91" s="210">
        <v>125.1</v>
      </c>
    </row>
    <row r="92" spans="1:10" x14ac:dyDescent="0.3">
      <c r="A92" s="113">
        <v>1939</v>
      </c>
      <c r="B92" s="113" t="s">
        <v>70</v>
      </c>
      <c r="C92" s="113" t="s">
        <v>202</v>
      </c>
      <c r="D92" s="209">
        <v>68.900000000000006</v>
      </c>
      <c r="E92" s="209">
        <v>65.2</v>
      </c>
      <c r="F92" s="209">
        <v>71.7</v>
      </c>
      <c r="G92" s="211">
        <v>82.1</v>
      </c>
      <c r="H92" s="209">
        <v>82.1</v>
      </c>
      <c r="I92" s="151">
        <v>82.2</v>
      </c>
      <c r="J92" s="210">
        <v>76.2</v>
      </c>
    </row>
    <row r="93" spans="1:10" x14ac:dyDescent="0.3">
      <c r="A93" s="113">
        <v>1940</v>
      </c>
      <c r="B93" s="113" t="s">
        <v>95</v>
      </c>
      <c r="C93" s="113" t="s">
        <v>202</v>
      </c>
      <c r="D93" s="209">
        <v>48.9</v>
      </c>
      <c r="E93" s="209">
        <v>49.7</v>
      </c>
      <c r="F93" s="209">
        <v>51.5</v>
      </c>
      <c r="G93" s="209">
        <v>56.4</v>
      </c>
      <c r="H93" s="209">
        <v>64.2</v>
      </c>
      <c r="I93" s="151">
        <v>63.2</v>
      </c>
      <c r="J93" s="210">
        <v>61</v>
      </c>
    </row>
    <row r="94" spans="1:10" x14ac:dyDescent="0.3">
      <c r="A94" s="113">
        <v>1941</v>
      </c>
      <c r="B94" s="113" t="s">
        <v>77</v>
      </c>
      <c r="C94" s="113" t="s">
        <v>202</v>
      </c>
      <c r="D94" s="209">
        <v>90</v>
      </c>
      <c r="E94" s="209">
        <v>89</v>
      </c>
      <c r="F94" s="209">
        <v>90.2</v>
      </c>
      <c r="G94" s="209">
        <v>85.5</v>
      </c>
      <c r="H94" s="209">
        <v>79.8</v>
      </c>
      <c r="I94" s="151">
        <v>80.400000000000006</v>
      </c>
      <c r="J94" s="210">
        <v>79.599999999999994</v>
      </c>
    </row>
    <row r="95" spans="1:10" x14ac:dyDescent="0.3">
      <c r="A95" s="113">
        <v>1942</v>
      </c>
      <c r="B95" s="113" t="s">
        <v>81</v>
      </c>
      <c r="C95" s="113" t="s">
        <v>202</v>
      </c>
      <c r="D95" s="209">
        <v>74.900000000000006</v>
      </c>
      <c r="E95" s="209">
        <v>84.8</v>
      </c>
      <c r="F95" s="209">
        <v>85.3</v>
      </c>
      <c r="G95" s="209">
        <v>87.9</v>
      </c>
      <c r="H95" s="209">
        <v>86.6</v>
      </c>
      <c r="I95" s="151">
        <v>88.6</v>
      </c>
      <c r="J95" s="210">
        <v>92.8</v>
      </c>
    </row>
    <row r="96" spans="1:10" x14ac:dyDescent="0.3">
      <c r="A96" s="113">
        <v>1943</v>
      </c>
      <c r="B96" s="113" t="s">
        <v>84</v>
      </c>
      <c r="C96" s="113" t="s">
        <v>202</v>
      </c>
      <c r="D96" s="209">
        <v>42</v>
      </c>
      <c r="E96" s="209">
        <v>40.1</v>
      </c>
      <c r="F96" s="209">
        <v>45</v>
      </c>
      <c r="G96" s="209">
        <v>47.4</v>
      </c>
      <c r="H96" s="209">
        <v>57</v>
      </c>
      <c r="I96" s="151">
        <v>66</v>
      </c>
      <c r="J96" s="210">
        <v>58.8</v>
      </c>
    </row>
    <row r="97" spans="1:10" x14ac:dyDescent="0.3">
      <c r="A97" s="226" t="s">
        <v>197</v>
      </c>
      <c r="B97" s="226" t="s">
        <v>174</v>
      </c>
      <c r="C97" s="229" t="s">
        <v>202</v>
      </c>
      <c r="D97" s="214">
        <v>67.3</v>
      </c>
      <c r="E97" s="214">
        <v>68.7</v>
      </c>
      <c r="F97" s="214">
        <v>72.599999999999994</v>
      </c>
      <c r="G97" s="214">
        <v>74</v>
      </c>
      <c r="H97" s="214">
        <v>73.7</v>
      </c>
      <c r="I97" s="151">
        <v>75.900000000000006</v>
      </c>
      <c r="J97" s="210">
        <v>79.3</v>
      </c>
    </row>
    <row r="98" spans="1:10" x14ac:dyDescent="0.3">
      <c r="A98" s="226" t="s">
        <v>175</v>
      </c>
      <c r="B98" s="226" t="s">
        <v>198</v>
      </c>
      <c r="C98" s="229" t="s">
        <v>202</v>
      </c>
      <c r="D98" s="214">
        <v>89.4</v>
      </c>
      <c r="E98" s="214">
        <v>88.7</v>
      </c>
      <c r="F98" s="214">
        <v>91.5</v>
      </c>
      <c r="G98" s="214">
        <v>89.9</v>
      </c>
      <c r="H98" s="214">
        <v>89.3</v>
      </c>
      <c r="I98" s="151">
        <v>90.3</v>
      </c>
      <c r="J98" s="210">
        <v>91.7</v>
      </c>
    </row>
    <row r="99" spans="1:10" x14ac:dyDescent="0.3">
      <c r="A99" s="226" t="s">
        <v>176</v>
      </c>
      <c r="B99" s="226" t="s">
        <v>176</v>
      </c>
      <c r="C99" s="229" t="s">
        <v>202</v>
      </c>
      <c r="D99" s="214">
        <v>61.3</v>
      </c>
      <c r="E99" s="214">
        <v>63.6</v>
      </c>
      <c r="F99" s="214">
        <v>70.2</v>
      </c>
      <c r="G99" s="214">
        <v>69.900000000000006</v>
      </c>
      <c r="H99" s="214">
        <v>66.900000000000006</v>
      </c>
      <c r="I99" s="151">
        <v>66.2</v>
      </c>
      <c r="J99" s="210">
        <v>71.900000000000006</v>
      </c>
    </row>
    <row r="100" spans="1:10" x14ac:dyDescent="0.3">
      <c r="A100" s="226" t="s">
        <v>177</v>
      </c>
      <c r="B100" s="226" t="s">
        <v>177</v>
      </c>
      <c r="C100" s="229" t="s">
        <v>202</v>
      </c>
      <c r="D100" s="214">
        <v>61.4</v>
      </c>
      <c r="E100" s="214">
        <v>63.5</v>
      </c>
      <c r="F100" s="214">
        <v>63.9</v>
      </c>
      <c r="G100" s="214">
        <v>66.8</v>
      </c>
      <c r="H100" s="214">
        <v>67.3</v>
      </c>
      <c r="I100" s="151">
        <v>69.099999999999994</v>
      </c>
      <c r="J100" s="210">
        <v>74.599999999999994</v>
      </c>
    </row>
    <row r="101" spans="1:10" s="76" customFormat="1" x14ac:dyDescent="0.3">
      <c r="A101" s="226" t="s">
        <v>377</v>
      </c>
      <c r="B101" s="226" t="s">
        <v>377</v>
      </c>
      <c r="C101" s="229" t="s">
        <v>202</v>
      </c>
      <c r="D101" s="214"/>
      <c r="E101" s="214"/>
      <c r="F101" s="214"/>
      <c r="G101" s="214"/>
      <c r="H101" s="214"/>
      <c r="I101" s="151"/>
      <c r="J101" s="210">
        <v>57.9</v>
      </c>
    </row>
    <row r="102" spans="1:10" x14ac:dyDescent="0.3">
      <c r="A102" s="226" t="s">
        <v>178</v>
      </c>
      <c r="B102" s="226" t="s">
        <v>178</v>
      </c>
      <c r="C102" s="229" t="s">
        <v>202</v>
      </c>
      <c r="D102" s="214">
        <v>59.9</v>
      </c>
      <c r="E102" s="214">
        <v>58</v>
      </c>
      <c r="F102" s="214">
        <v>61.2</v>
      </c>
      <c r="G102" s="214">
        <v>62.7</v>
      </c>
      <c r="H102" s="214">
        <v>62.9</v>
      </c>
      <c r="I102" s="151">
        <v>62.3</v>
      </c>
      <c r="J102" s="210">
        <v>59.8</v>
      </c>
    </row>
    <row r="103" spans="1:10" x14ac:dyDescent="0.3">
      <c r="A103" s="226" t="s">
        <v>179</v>
      </c>
      <c r="B103" s="226" t="s">
        <v>179</v>
      </c>
      <c r="C103" s="229" t="s">
        <v>202</v>
      </c>
      <c r="D103" s="214">
        <v>53</v>
      </c>
      <c r="E103" s="214">
        <v>53.2</v>
      </c>
      <c r="F103" s="214">
        <v>54.6</v>
      </c>
      <c r="G103" s="214">
        <v>54.3</v>
      </c>
      <c r="H103" s="214">
        <v>56</v>
      </c>
      <c r="I103" s="151">
        <v>57.6</v>
      </c>
      <c r="J103" s="210">
        <v>60.3</v>
      </c>
    </row>
    <row r="104" spans="1:10" x14ac:dyDescent="0.3">
      <c r="A104" s="226" t="s">
        <v>180</v>
      </c>
      <c r="B104" s="226" t="s">
        <v>180</v>
      </c>
      <c r="C104" s="229" t="s">
        <v>202</v>
      </c>
      <c r="D104" s="214">
        <v>73.8</v>
      </c>
      <c r="E104" s="214">
        <v>71.3</v>
      </c>
      <c r="F104" s="214">
        <v>72.7</v>
      </c>
      <c r="G104" s="214">
        <v>74.400000000000006</v>
      </c>
      <c r="H104" s="214">
        <v>73.5</v>
      </c>
      <c r="I104" s="151">
        <v>73.8</v>
      </c>
      <c r="J104" s="210">
        <v>78.400000000000006</v>
      </c>
    </row>
    <row r="105" spans="1:10" x14ac:dyDescent="0.3">
      <c r="A105" s="226" t="s">
        <v>181</v>
      </c>
      <c r="B105" s="226" t="s">
        <v>181</v>
      </c>
      <c r="C105" s="226" t="s">
        <v>202</v>
      </c>
      <c r="D105" s="214">
        <v>63.1</v>
      </c>
      <c r="E105" s="214">
        <v>65.3</v>
      </c>
      <c r="F105" s="214">
        <v>71.099999999999994</v>
      </c>
      <c r="G105" s="214">
        <v>72.599999999999994</v>
      </c>
      <c r="H105" s="214">
        <v>73</v>
      </c>
      <c r="I105" s="151">
        <v>76.8</v>
      </c>
      <c r="J105" s="210">
        <v>77.7</v>
      </c>
    </row>
    <row r="106" spans="1:10" x14ac:dyDescent="0.3">
      <c r="A106" s="226" t="s">
        <v>182</v>
      </c>
      <c r="B106" s="226" t="s">
        <v>182</v>
      </c>
      <c r="C106" s="226" t="s">
        <v>202</v>
      </c>
      <c r="D106" s="214">
        <v>72.2</v>
      </c>
      <c r="E106" s="214">
        <v>74</v>
      </c>
      <c r="F106" s="214">
        <v>78.3</v>
      </c>
      <c r="G106" s="214">
        <v>78.5</v>
      </c>
      <c r="H106" s="214">
        <v>77.7</v>
      </c>
      <c r="I106" s="151">
        <v>80.3</v>
      </c>
      <c r="J106" s="210">
        <v>83.1</v>
      </c>
    </row>
    <row r="107" spans="1:10" s="76" customFormat="1" x14ac:dyDescent="0.3">
      <c r="A107" s="226" t="s">
        <v>378</v>
      </c>
      <c r="B107" s="226" t="s">
        <v>378</v>
      </c>
      <c r="C107" s="226" t="s">
        <v>202</v>
      </c>
      <c r="D107" s="214"/>
      <c r="E107" s="214"/>
      <c r="F107" s="214"/>
      <c r="G107" s="214"/>
      <c r="H107" s="214"/>
      <c r="I107" s="151"/>
      <c r="J107" s="210">
        <v>46.9</v>
      </c>
    </row>
    <row r="108" spans="1:10" x14ac:dyDescent="0.3">
      <c r="A108" s="113">
        <v>1902</v>
      </c>
      <c r="B108" s="133" t="s">
        <v>10</v>
      </c>
      <c r="C108" s="113" t="s">
        <v>215</v>
      </c>
      <c r="D108" s="215">
        <v>61459</v>
      </c>
      <c r="E108" s="215">
        <v>63456</v>
      </c>
      <c r="F108" s="215">
        <v>63763</v>
      </c>
      <c r="G108" s="215">
        <v>64685</v>
      </c>
      <c r="H108" s="215">
        <v>66492</v>
      </c>
      <c r="I108" s="216">
        <v>66933</v>
      </c>
      <c r="J108" s="217">
        <v>68673</v>
      </c>
    </row>
    <row r="109" spans="1:10" s="72" customFormat="1" x14ac:dyDescent="0.3">
      <c r="A109" s="113">
        <v>1903</v>
      </c>
      <c r="B109" s="115" t="s">
        <v>6</v>
      </c>
      <c r="C109" s="113" t="s">
        <v>215</v>
      </c>
      <c r="D109" s="215">
        <v>46356</v>
      </c>
      <c r="E109" s="215">
        <v>52343</v>
      </c>
      <c r="F109" s="215">
        <v>61052</v>
      </c>
      <c r="G109" s="215">
        <v>66960</v>
      </c>
      <c r="H109" s="215">
        <v>70420</v>
      </c>
      <c r="I109" s="216">
        <v>83638</v>
      </c>
      <c r="J109" s="217">
        <v>86809</v>
      </c>
    </row>
    <row r="110" spans="1:10" x14ac:dyDescent="0.3">
      <c r="A110" s="113">
        <v>1911</v>
      </c>
      <c r="B110" s="133" t="s">
        <v>14</v>
      </c>
      <c r="C110" s="113" t="s">
        <v>215</v>
      </c>
      <c r="D110" s="215">
        <v>39640</v>
      </c>
      <c r="E110" s="215">
        <v>39143</v>
      </c>
      <c r="F110" s="215">
        <v>41898</v>
      </c>
      <c r="G110" s="215">
        <v>47626</v>
      </c>
      <c r="H110" s="215">
        <v>50925</v>
      </c>
      <c r="I110" s="216">
        <v>49843</v>
      </c>
      <c r="J110" s="217">
        <v>48423</v>
      </c>
    </row>
    <row r="111" spans="1:10" x14ac:dyDescent="0.3">
      <c r="A111" s="113">
        <v>1913</v>
      </c>
      <c r="B111" s="133" t="s">
        <v>18</v>
      </c>
      <c r="C111" s="113" t="s">
        <v>215</v>
      </c>
      <c r="D111" s="215">
        <v>54606</v>
      </c>
      <c r="E111" s="215">
        <v>53612</v>
      </c>
      <c r="F111" s="215">
        <v>66793</v>
      </c>
      <c r="G111" s="215">
        <v>70907</v>
      </c>
      <c r="H111" s="215">
        <v>74233</v>
      </c>
      <c r="I111" s="216">
        <v>73082</v>
      </c>
      <c r="J111" s="217">
        <v>78256</v>
      </c>
    </row>
    <row r="112" spans="1:10" x14ac:dyDescent="0.3">
      <c r="A112" s="113">
        <v>1917</v>
      </c>
      <c r="B112" s="133" t="s">
        <v>21</v>
      </c>
      <c r="C112" s="113" t="s">
        <v>215</v>
      </c>
      <c r="D112" s="215">
        <v>32173</v>
      </c>
      <c r="E112" s="215">
        <v>35890</v>
      </c>
      <c r="F112" s="215">
        <v>40884</v>
      </c>
      <c r="G112" s="215">
        <v>42678</v>
      </c>
      <c r="H112" s="215">
        <v>42992</v>
      </c>
      <c r="I112" s="216">
        <v>43079</v>
      </c>
      <c r="J112" s="217">
        <v>47302</v>
      </c>
    </row>
    <row r="113" spans="1:10" x14ac:dyDescent="0.3">
      <c r="A113" s="113">
        <v>1919</v>
      </c>
      <c r="B113" s="133" t="s">
        <v>24</v>
      </c>
      <c r="C113" s="113" t="s">
        <v>215</v>
      </c>
      <c r="D113" s="215">
        <v>67882</v>
      </c>
      <c r="E113" s="215">
        <v>70530</v>
      </c>
      <c r="F113" s="215">
        <v>80689</v>
      </c>
      <c r="G113" s="215">
        <v>97329</v>
      </c>
      <c r="H113" s="215">
        <v>99351</v>
      </c>
      <c r="I113" s="216">
        <v>98798</v>
      </c>
      <c r="J113" s="217">
        <v>87910</v>
      </c>
    </row>
    <row r="114" spans="1:10" x14ac:dyDescent="0.3">
      <c r="A114" s="113">
        <v>1920</v>
      </c>
      <c r="B114" s="133" t="s">
        <v>27</v>
      </c>
      <c r="C114" s="113" t="s">
        <v>215</v>
      </c>
      <c r="D114" s="215">
        <v>31444</v>
      </c>
      <c r="E114" s="215">
        <v>36685</v>
      </c>
      <c r="F114" s="215">
        <v>53731</v>
      </c>
      <c r="G114" s="215">
        <v>53728</v>
      </c>
      <c r="H114" s="215">
        <v>65153</v>
      </c>
      <c r="I114" s="216">
        <v>48244</v>
      </c>
      <c r="J114" s="217">
        <v>61848</v>
      </c>
    </row>
    <row r="115" spans="1:10" x14ac:dyDescent="0.3">
      <c r="A115" s="113">
        <v>1922</v>
      </c>
      <c r="B115" s="133" t="s">
        <v>30</v>
      </c>
      <c r="C115" s="113" t="s">
        <v>215</v>
      </c>
      <c r="D115" s="215">
        <v>57064</v>
      </c>
      <c r="E115" s="215">
        <v>71420</v>
      </c>
      <c r="F115" s="215">
        <v>64866</v>
      </c>
      <c r="G115" s="215">
        <v>73333</v>
      </c>
      <c r="H115" s="215">
        <v>72532</v>
      </c>
      <c r="I115" s="216">
        <v>75914</v>
      </c>
      <c r="J115" s="217">
        <v>66342</v>
      </c>
    </row>
    <row r="116" spans="1:10" x14ac:dyDescent="0.3">
      <c r="A116" s="113">
        <v>1923</v>
      </c>
      <c r="B116" s="133" t="s">
        <v>34</v>
      </c>
      <c r="C116" s="113" t="s">
        <v>215</v>
      </c>
      <c r="D116" s="215">
        <v>57857</v>
      </c>
      <c r="E116" s="215">
        <v>69294</v>
      </c>
      <c r="F116" s="215">
        <v>68419</v>
      </c>
      <c r="G116" s="215">
        <v>67210</v>
      </c>
      <c r="H116" s="215">
        <v>78163</v>
      </c>
      <c r="I116" s="216">
        <v>99014</v>
      </c>
      <c r="J116" s="217">
        <v>124426</v>
      </c>
    </row>
    <row r="117" spans="1:10" x14ac:dyDescent="0.3">
      <c r="A117" s="113">
        <v>1924</v>
      </c>
      <c r="B117" s="133" t="s">
        <v>36</v>
      </c>
      <c r="C117" s="113" t="s">
        <v>215</v>
      </c>
      <c r="D117" s="215">
        <v>54880</v>
      </c>
      <c r="E117" s="215">
        <v>58063</v>
      </c>
      <c r="F117" s="215">
        <v>55371</v>
      </c>
      <c r="G117" s="215">
        <v>59826</v>
      </c>
      <c r="H117" s="215">
        <v>60924</v>
      </c>
      <c r="I117" s="216">
        <v>64286</v>
      </c>
      <c r="J117" s="217">
        <v>63872</v>
      </c>
    </row>
    <row r="118" spans="1:10" x14ac:dyDescent="0.3">
      <c r="A118" s="113">
        <v>1925</v>
      </c>
      <c r="B118" s="133" t="s">
        <v>39</v>
      </c>
      <c r="C118" s="113" t="s">
        <v>215</v>
      </c>
      <c r="D118" s="215">
        <v>65824</v>
      </c>
      <c r="E118" s="215">
        <v>67348</v>
      </c>
      <c r="F118" s="215">
        <v>67495</v>
      </c>
      <c r="G118" s="215">
        <v>69827</v>
      </c>
      <c r="H118" s="215">
        <v>68884</v>
      </c>
      <c r="I118" s="216">
        <v>66906</v>
      </c>
      <c r="J118" s="217">
        <v>63470</v>
      </c>
    </row>
    <row r="119" spans="1:10" x14ac:dyDescent="0.3">
      <c r="A119" s="113">
        <v>1926</v>
      </c>
      <c r="B119" s="133" t="s">
        <v>42</v>
      </c>
      <c r="C119" s="113" t="s">
        <v>215</v>
      </c>
      <c r="D119" s="215">
        <v>60841</v>
      </c>
      <c r="E119" s="215">
        <v>64557</v>
      </c>
      <c r="F119" s="215">
        <v>65280</v>
      </c>
      <c r="G119" s="215">
        <v>75549</v>
      </c>
      <c r="H119" s="215">
        <v>82903</v>
      </c>
      <c r="I119" s="216">
        <v>87920</v>
      </c>
      <c r="J119" s="217">
        <v>86258</v>
      </c>
    </row>
    <row r="120" spans="1:10" x14ac:dyDescent="0.3">
      <c r="A120" s="113">
        <v>1927</v>
      </c>
      <c r="B120" s="133" t="s">
        <v>45</v>
      </c>
      <c r="C120" s="113" t="s">
        <v>215</v>
      </c>
      <c r="D120" s="215">
        <v>46321</v>
      </c>
      <c r="E120" s="215">
        <v>47372</v>
      </c>
      <c r="F120" s="215">
        <v>55979</v>
      </c>
      <c r="G120" s="215">
        <v>61253</v>
      </c>
      <c r="H120" s="215">
        <v>68655</v>
      </c>
      <c r="I120" s="216">
        <v>70403</v>
      </c>
      <c r="J120" s="217">
        <v>65118</v>
      </c>
    </row>
    <row r="121" spans="1:10" x14ac:dyDescent="0.3">
      <c r="A121" s="113">
        <v>1928</v>
      </c>
      <c r="B121" s="133" t="s">
        <v>49</v>
      </c>
      <c r="C121" s="113" t="s">
        <v>215</v>
      </c>
      <c r="D121" s="218" t="s">
        <v>110</v>
      </c>
      <c r="E121" s="218" t="s">
        <v>110</v>
      </c>
      <c r="F121" s="218" t="s">
        <v>110</v>
      </c>
      <c r="G121" s="218" t="s">
        <v>110</v>
      </c>
      <c r="H121" s="218">
        <v>91134</v>
      </c>
      <c r="I121" s="216">
        <v>85805</v>
      </c>
      <c r="J121" s="217">
        <v>80847</v>
      </c>
    </row>
    <row r="122" spans="1:10" x14ac:dyDescent="0.3">
      <c r="A122" s="113">
        <v>1929</v>
      </c>
      <c r="B122" s="133" t="s">
        <v>53</v>
      </c>
      <c r="C122" s="113" t="s">
        <v>215</v>
      </c>
      <c r="D122" s="215">
        <v>71452</v>
      </c>
      <c r="E122" s="215">
        <v>73711</v>
      </c>
      <c r="F122" s="215">
        <v>79620</v>
      </c>
      <c r="G122" s="215">
        <v>79849</v>
      </c>
      <c r="H122" s="218">
        <v>70159</v>
      </c>
      <c r="I122" s="216">
        <v>69663</v>
      </c>
      <c r="J122" s="217">
        <v>85144</v>
      </c>
    </row>
    <row r="123" spans="1:10" x14ac:dyDescent="0.3">
      <c r="A123" s="113">
        <v>1931</v>
      </c>
      <c r="B123" s="133" t="s">
        <v>56</v>
      </c>
      <c r="C123" s="113" t="s">
        <v>215</v>
      </c>
      <c r="D123" s="215">
        <v>53712</v>
      </c>
      <c r="E123" s="215">
        <v>59235</v>
      </c>
      <c r="F123" s="215">
        <v>72824</v>
      </c>
      <c r="G123" s="215">
        <v>73399</v>
      </c>
      <c r="H123" s="215">
        <v>75785</v>
      </c>
      <c r="I123" s="216">
        <v>80706</v>
      </c>
      <c r="J123" s="217">
        <v>82109</v>
      </c>
    </row>
    <row r="124" spans="1:10" x14ac:dyDescent="0.3">
      <c r="A124" s="113">
        <v>1933</v>
      </c>
      <c r="B124" s="133" t="s">
        <v>60</v>
      </c>
      <c r="C124" s="113" t="s">
        <v>215</v>
      </c>
      <c r="D124" s="215">
        <v>45385</v>
      </c>
      <c r="E124" s="215">
        <v>57094</v>
      </c>
      <c r="F124" s="215">
        <v>60773</v>
      </c>
      <c r="G124" s="215">
        <v>61996</v>
      </c>
      <c r="H124" s="215">
        <v>61742</v>
      </c>
      <c r="I124" s="216">
        <v>67532</v>
      </c>
      <c r="J124" s="217">
        <v>66838</v>
      </c>
    </row>
    <row r="125" spans="1:10" x14ac:dyDescent="0.3">
      <c r="A125" s="113">
        <v>1936</v>
      </c>
      <c r="B125" s="133" t="s">
        <v>62</v>
      </c>
      <c r="C125" s="113" t="s">
        <v>215</v>
      </c>
      <c r="D125" s="215">
        <v>68828</v>
      </c>
      <c r="E125" s="215">
        <v>69598</v>
      </c>
      <c r="F125" s="215">
        <v>70286</v>
      </c>
      <c r="G125" s="215">
        <v>64580</v>
      </c>
      <c r="H125" s="215">
        <v>70525</v>
      </c>
      <c r="I125" s="216">
        <v>68741</v>
      </c>
      <c r="J125" s="217">
        <v>84241</v>
      </c>
    </row>
    <row r="126" spans="1:10" x14ac:dyDescent="0.3">
      <c r="A126" s="113">
        <v>1938</v>
      </c>
      <c r="B126" s="133" t="s">
        <v>66</v>
      </c>
      <c r="C126" s="113" t="s">
        <v>215</v>
      </c>
      <c r="D126" s="215">
        <v>66908</v>
      </c>
      <c r="E126" s="215">
        <v>77936</v>
      </c>
      <c r="F126" s="215">
        <v>107851</v>
      </c>
      <c r="G126" s="215">
        <v>121947</v>
      </c>
      <c r="H126" s="215">
        <v>122383</v>
      </c>
      <c r="I126" s="216">
        <v>119036</v>
      </c>
      <c r="J126" s="217">
        <v>126642</v>
      </c>
    </row>
    <row r="127" spans="1:10" x14ac:dyDescent="0.3">
      <c r="A127" s="113">
        <v>1939</v>
      </c>
      <c r="B127" s="133" t="s">
        <v>70</v>
      </c>
      <c r="C127" s="113" t="s">
        <v>215</v>
      </c>
      <c r="D127" s="215">
        <v>52318</v>
      </c>
      <c r="E127" s="215">
        <v>56608</v>
      </c>
      <c r="F127" s="215">
        <v>63014</v>
      </c>
      <c r="G127" s="218">
        <v>78636</v>
      </c>
      <c r="H127" s="215">
        <v>82167</v>
      </c>
      <c r="I127" s="216">
        <v>82403</v>
      </c>
      <c r="J127" s="217">
        <v>81986</v>
      </c>
    </row>
    <row r="128" spans="1:10" x14ac:dyDescent="0.3">
      <c r="A128" s="113">
        <v>1940</v>
      </c>
      <c r="B128" s="133" t="s">
        <v>95</v>
      </c>
      <c r="C128" s="113" t="s">
        <v>215</v>
      </c>
      <c r="D128" s="215">
        <v>37903</v>
      </c>
      <c r="E128" s="215">
        <v>43774</v>
      </c>
      <c r="F128" s="215">
        <v>47204</v>
      </c>
      <c r="G128" s="215">
        <v>52474</v>
      </c>
      <c r="H128" s="215">
        <v>62122</v>
      </c>
      <c r="I128" s="216">
        <v>62886</v>
      </c>
      <c r="J128" s="217">
        <v>62602</v>
      </c>
    </row>
    <row r="129" spans="1:13" x14ac:dyDescent="0.3">
      <c r="A129" s="113">
        <v>1941</v>
      </c>
      <c r="B129" s="133" t="s">
        <v>77</v>
      </c>
      <c r="C129" s="113" t="s">
        <v>215</v>
      </c>
      <c r="D129" s="215">
        <v>63384</v>
      </c>
      <c r="E129" s="215">
        <v>67941</v>
      </c>
      <c r="F129" s="215">
        <v>71800</v>
      </c>
      <c r="G129" s="215">
        <v>70873</v>
      </c>
      <c r="H129" s="215">
        <v>69281</v>
      </c>
      <c r="I129" s="216">
        <v>71656</v>
      </c>
      <c r="J129" s="217">
        <v>72251</v>
      </c>
    </row>
    <row r="130" spans="1:13" x14ac:dyDescent="0.3">
      <c r="A130" s="113">
        <v>1942</v>
      </c>
      <c r="B130" s="133" t="s">
        <v>81</v>
      </c>
      <c r="C130" s="113" t="s">
        <v>215</v>
      </c>
      <c r="D130" s="215">
        <v>45707</v>
      </c>
      <c r="E130" s="215">
        <v>58257</v>
      </c>
      <c r="F130" s="215">
        <v>63456</v>
      </c>
      <c r="G130" s="215">
        <v>68494</v>
      </c>
      <c r="H130" s="215">
        <v>72855</v>
      </c>
      <c r="I130" s="216">
        <v>79390</v>
      </c>
      <c r="J130" s="217">
        <v>82979</v>
      </c>
    </row>
    <row r="131" spans="1:13" x14ac:dyDescent="0.3">
      <c r="A131" s="113">
        <v>1943</v>
      </c>
      <c r="B131" s="133" t="s">
        <v>84</v>
      </c>
      <c r="C131" s="113" t="s">
        <v>215</v>
      </c>
      <c r="D131" s="215">
        <v>38731</v>
      </c>
      <c r="E131" s="215">
        <v>39235</v>
      </c>
      <c r="F131" s="215">
        <v>47219</v>
      </c>
      <c r="G131" s="215">
        <v>52427</v>
      </c>
      <c r="H131" s="215">
        <v>80298</v>
      </c>
      <c r="I131" s="216">
        <v>83051</v>
      </c>
      <c r="J131" s="217">
        <v>75352</v>
      </c>
    </row>
    <row r="132" spans="1:13" x14ac:dyDescent="0.3">
      <c r="A132" s="227" t="s">
        <v>197</v>
      </c>
      <c r="B132" s="133" t="s">
        <v>174</v>
      </c>
      <c r="C132" s="133" t="s">
        <v>215</v>
      </c>
      <c r="D132" s="133">
        <v>37182</v>
      </c>
      <c r="E132" s="133">
        <v>41221</v>
      </c>
      <c r="F132" s="133">
        <v>45129</v>
      </c>
      <c r="G132" s="133">
        <v>48326</v>
      </c>
      <c r="H132" s="133">
        <v>50905</v>
      </c>
      <c r="I132" s="216">
        <v>54687</v>
      </c>
      <c r="J132" s="217">
        <v>58160</v>
      </c>
    </row>
    <row r="133" spans="1:13" x14ac:dyDescent="0.3">
      <c r="A133" s="227" t="s">
        <v>175</v>
      </c>
      <c r="B133" s="133" t="s">
        <v>198</v>
      </c>
      <c r="C133" s="133" t="s">
        <v>215</v>
      </c>
      <c r="D133" s="133">
        <v>55647</v>
      </c>
      <c r="E133" s="133">
        <v>59907</v>
      </c>
      <c r="F133" s="133">
        <v>63834</v>
      </c>
      <c r="G133" s="133">
        <v>66449</v>
      </c>
      <c r="H133" s="133">
        <v>69272</v>
      </c>
      <c r="I133" s="216">
        <v>72686</v>
      </c>
      <c r="J133" s="217">
        <v>74505</v>
      </c>
    </row>
    <row r="134" spans="1:13" x14ac:dyDescent="0.3">
      <c r="A134" s="227" t="s">
        <v>176</v>
      </c>
      <c r="B134" s="133" t="s">
        <v>176</v>
      </c>
      <c r="C134" s="133" t="s">
        <v>215</v>
      </c>
      <c r="D134" s="133">
        <v>38608</v>
      </c>
      <c r="E134" s="133">
        <v>44160</v>
      </c>
      <c r="F134" s="133">
        <v>50633</v>
      </c>
      <c r="G134" s="133">
        <v>52545</v>
      </c>
      <c r="H134" s="133">
        <v>53129</v>
      </c>
      <c r="I134" s="216">
        <v>55228</v>
      </c>
      <c r="J134" s="217">
        <v>61431</v>
      </c>
    </row>
    <row r="135" spans="1:13" x14ac:dyDescent="0.3">
      <c r="A135" s="227" t="s">
        <v>177</v>
      </c>
      <c r="B135" s="133" t="s">
        <v>177</v>
      </c>
      <c r="C135" s="133" t="s">
        <v>215</v>
      </c>
      <c r="D135" s="133">
        <v>47650</v>
      </c>
      <c r="E135" s="133">
        <v>53345</v>
      </c>
      <c r="F135" s="133">
        <v>56024</v>
      </c>
      <c r="G135" s="133">
        <v>61581</v>
      </c>
      <c r="H135" s="133">
        <v>64930</v>
      </c>
      <c r="I135" s="216">
        <v>69813</v>
      </c>
      <c r="J135" s="217">
        <v>72277</v>
      </c>
    </row>
    <row r="136" spans="1:13" s="76" customFormat="1" x14ac:dyDescent="0.3">
      <c r="A136" s="227" t="s">
        <v>377</v>
      </c>
      <c r="B136" s="133" t="s">
        <v>377</v>
      </c>
      <c r="C136" s="133" t="s">
        <v>215</v>
      </c>
      <c r="D136" s="133"/>
      <c r="E136" s="133"/>
      <c r="F136" s="133"/>
      <c r="G136" s="133"/>
      <c r="H136" s="133"/>
      <c r="I136" s="216"/>
      <c r="J136" s="217">
        <v>56895</v>
      </c>
    </row>
    <row r="137" spans="1:13" x14ac:dyDescent="0.3">
      <c r="A137" s="227" t="s">
        <v>178</v>
      </c>
      <c r="B137" s="133" t="s">
        <v>178</v>
      </c>
      <c r="C137" s="133" t="s">
        <v>215</v>
      </c>
      <c r="D137" s="133">
        <v>43989</v>
      </c>
      <c r="E137" s="133">
        <v>46893</v>
      </c>
      <c r="F137" s="133">
        <v>51710</v>
      </c>
      <c r="G137" s="133">
        <v>55118</v>
      </c>
      <c r="H137" s="133">
        <v>58680</v>
      </c>
      <c r="I137" s="216">
        <v>61420</v>
      </c>
      <c r="J137" s="217">
        <v>62429</v>
      </c>
    </row>
    <row r="138" spans="1:13" x14ac:dyDescent="0.3">
      <c r="A138" s="227" t="s">
        <v>179</v>
      </c>
      <c r="B138" s="133" t="s">
        <v>179</v>
      </c>
      <c r="C138" s="133" t="s">
        <v>215</v>
      </c>
      <c r="D138" s="133">
        <v>46689</v>
      </c>
      <c r="E138" s="133">
        <v>52352</v>
      </c>
      <c r="F138" s="133">
        <v>54664</v>
      </c>
      <c r="G138" s="133">
        <v>57484</v>
      </c>
      <c r="H138" s="133">
        <v>62281</v>
      </c>
      <c r="I138" s="216">
        <v>65868</v>
      </c>
      <c r="J138" s="217">
        <v>72490</v>
      </c>
    </row>
    <row r="139" spans="1:13" x14ac:dyDescent="0.3">
      <c r="A139" s="227" t="s">
        <v>180</v>
      </c>
      <c r="B139" s="133" t="s">
        <v>180</v>
      </c>
      <c r="C139" s="133" t="s">
        <v>215</v>
      </c>
      <c r="D139" s="133">
        <v>42971</v>
      </c>
      <c r="E139" s="133">
        <v>45470</v>
      </c>
      <c r="F139" s="133">
        <v>48712</v>
      </c>
      <c r="G139" s="133">
        <v>52208</v>
      </c>
      <c r="H139" s="133">
        <v>54902</v>
      </c>
      <c r="I139" s="216">
        <v>57629</v>
      </c>
      <c r="J139" s="217">
        <v>62370</v>
      </c>
    </row>
    <row r="140" spans="1:13" x14ac:dyDescent="0.3">
      <c r="A140" s="227" t="s">
        <v>181</v>
      </c>
      <c r="B140" s="133" t="s">
        <v>181</v>
      </c>
      <c r="C140" s="133" t="s">
        <v>215</v>
      </c>
      <c r="D140" s="133">
        <v>43396</v>
      </c>
      <c r="E140" s="133">
        <v>48988</v>
      </c>
      <c r="F140" s="133">
        <v>54926</v>
      </c>
      <c r="G140" s="133">
        <v>59539</v>
      </c>
      <c r="H140" s="133">
        <v>62305</v>
      </c>
      <c r="I140" s="216">
        <v>68776</v>
      </c>
      <c r="J140" s="217">
        <v>70738</v>
      </c>
    </row>
    <row r="141" spans="1:13" x14ac:dyDescent="0.3">
      <c r="A141" s="227" t="s">
        <v>182</v>
      </c>
      <c r="B141" s="133" t="s">
        <v>182</v>
      </c>
      <c r="C141" s="133" t="s">
        <v>215</v>
      </c>
      <c r="D141" s="133">
        <v>37329</v>
      </c>
      <c r="E141" s="133">
        <v>41467</v>
      </c>
      <c r="F141" s="133">
        <v>45310</v>
      </c>
      <c r="G141" s="133">
        <v>47864</v>
      </c>
      <c r="H141" s="133">
        <v>50098</v>
      </c>
      <c r="I141" s="216">
        <v>54067</v>
      </c>
      <c r="J141" s="217">
        <v>56883</v>
      </c>
    </row>
    <row r="142" spans="1:13" s="76" customFormat="1" x14ac:dyDescent="0.3">
      <c r="A142" s="227" t="s">
        <v>378</v>
      </c>
      <c r="B142" s="133" t="s">
        <v>378</v>
      </c>
      <c r="C142" s="133" t="s">
        <v>215</v>
      </c>
      <c r="D142" s="133"/>
      <c r="E142" s="133"/>
      <c r="F142" s="133"/>
      <c r="G142" s="133"/>
      <c r="H142" s="133"/>
      <c r="I142" s="224"/>
      <c r="J142" s="225">
        <v>71830</v>
      </c>
    </row>
    <row r="143" spans="1:13" x14ac:dyDescent="0.3">
      <c r="A143" s="113">
        <v>1902</v>
      </c>
      <c r="B143" s="133" t="s">
        <v>10</v>
      </c>
      <c r="C143" s="230" t="s">
        <v>464</v>
      </c>
      <c r="D143" s="231"/>
      <c r="E143" s="231"/>
      <c r="F143" s="215"/>
      <c r="G143" s="215"/>
      <c r="H143" s="221">
        <v>59</v>
      </c>
      <c r="I143" s="221">
        <v>68.900000000000006</v>
      </c>
      <c r="J143" s="221">
        <v>55.7</v>
      </c>
      <c r="L143" s="19"/>
      <c r="M143" s="19"/>
    </row>
    <row r="144" spans="1:13" x14ac:dyDescent="0.3">
      <c r="A144" s="113">
        <v>1903</v>
      </c>
      <c r="B144" s="133" t="s">
        <v>6</v>
      </c>
      <c r="C144" s="230" t="s">
        <v>464</v>
      </c>
      <c r="D144" s="231"/>
      <c r="E144" s="231"/>
      <c r="F144" s="215"/>
      <c r="G144" s="215"/>
      <c r="H144" s="221">
        <v>-10.199999999999999</v>
      </c>
      <c r="I144" s="221">
        <v>76</v>
      </c>
      <c r="J144" s="221">
        <v>70.2</v>
      </c>
      <c r="L144" s="19"/>
      <c r="M144" s="19"/>
    </row>
    <row r="145" spans="1:13" x14ac:dyDescent="0.3">
      <c r="A145" s="113">
        <v>1911</v>
      </c>
      <c r="B145" s="133" t="s">
        <v>14</v>
      </c>
      <c r="C145" s="230" t="s">
        <v>464</v>
      </c>
      <c r="D145" s="231"/>
      <c r="E145" s="231"/>
      <c r="F145" s="215"/>
      <c r="G145" s="215"/>
      <c r="H145" s="221">
        <v>33.700000000000003</v>
      </c>
      <c r="I145" s="221">
        <v>34.6</v>
      </c>
      <c r="J145" s="218" t="s">
        <v>110</v>
      </c>
      <c r="L145" s="19"/>
      <c r="M145" s="19"/>
    </row>
    <row r="146" spans="1:13" x14ac:dyDescent="0.3">
      <c r="A146" s="113">
        <v>1913</v>
      </c>
      <c r="B146" s="133" t="s">
        <v>18</v>
      </c>
      <c r="C146" s="230" t="s">
        <v>464</v>
      </c>
      <c r="D146" s="231"/>
      <c r="E146" s="231"/>
      <c r="F146" s="215"/>
      <c r="G146" s="215"/>
      <c r="H146" s="221">
        <v>70</v>
      </c>
      <c r="I146" s="221">
        <v>66.599999999999994</v>
      </c>
      <c r="J146" s="221">
        <v>71.3</v>
      </c>
      <c r="L146" s="19"/>
      <c r="M146" s="19"/>
    </row>
    <row r="147" spans="1:13" x14ac:dyDescent="0.3">
      <c r="A147" s="113">
        <v>1917</v>
      </c>
      <c r="B147" s="133" t="s">
        <v>21</v>
      </c>
      <c r="C147" s="230" t="s">
        <v>464</v>
      </c>
      <c r="D147" s="231"/>
      <c r="E147" s="231"/>
      <c r="F147" s="215"/>
      <c r="G147" s="215"/>
      <c r="H147" s="221">
        <v>21.9</v>
      </c>
      <c r="I147" s="221">
        <v>17.899999999999999</v>
      </c>
      <c r="J147" s="221">
        <v>25</v>
      </c>
      <c r="L147" s="19"/>
      <c r="M147" s="19"/>
    </row>
    <row r="148" spans="1:13" x14ac:dyDescent="0.3">
      <c r="A148" s="113">
        <v>1919</v>
      </c>
      <c r="B148" s="133" t="s">
        <v>24</v>
      </c>
      <c r="C148" s="230" t="s">
        <v>464</v>
      </c>
      <c r="D148" s="231"/>
      <c r="E148" s="231"/>
      <c r="F148" s="215"/>
      <c r="G148" s="215"/>
      <c r="H148" s="221">
        <v>85.2</v>
      </c>
      <c r="I148" s="221">
        <v>61</v>
      </c>
      <c r="J148" s="218" t="s">
        <v>110</v>
      </c>
      <c r="L148" s="19"/>
      <c r="M148" s="19"/>
    </row>
    <row r="149" spans="1:13" x14ac:dyDescent="0.3">
      <c r="A149" s="113">
        <v>1920</v>
      </c>
      <c r="B149" s="133" t="s">
        <v>27</v>
      </c>
      <c r="C149" s="230" t="s">
        <v>464</v>
      </c>
      <c r="D149" s="231"/>
      <c r="E149" s="231"/>
      <c r="F149" s="215"/>
      <c r="G149" s="215"/>
      <c r="H149" s="221">
        <v>22.6</v>
      </c>
      <c r="I149" s="221">
        <v>21.7</v>
      </c>
      <c r="J149" s="221">
        <v>34.9</v>
      </c>
      <c r="L149" s="19"/>
      <c r="M149" s="19"/>
    </row>
    <row r="150" spans="1:13" x14ac:dyDescent="0.3">
      <c r="A150" s="113">
        <v>1922</v>
      </c>
      <c r="B150" s="133" t="s">
        <v>30</v>
      </c>
      <c r="C150" s="230" t="s">
        <v>464</v>
      </c>
      <c r="D150" s="231"/>
      <c r="E150" s="231"/>
      <c r="F150" s="215"/>
      <c r="G150" s="215"/>
      <c r="H150" s="221">
        <v>42.9</v>
      </c>
      <c r="I150" s="221">
        <v>40.200000000000003</v>
      </c>
      <c r="J150" s="221">
        <v>34</v>
      </c>
      <c r="L150" s="19"/>
      <c r="M150" s="19"/>
    </row>
    <row r="151" spans="1:13" x14ac:dyDescent="0.3">
      <c r="A151" s="113">
        <v>1923</v>
      </c>
      <c r="B151" s="133" t="s">
        <v>34</v>
      </c>
      <c r="C151" s="230" t="s">
        <v>464</v>
      </c>
      <c r="D151" s="231"/>
      <c r="E151" s="231"/>
      <c r="F151" s="215"/>
      <c r="G151" s="215"/>
      <c r="H151" s="221">
        <v>60.6</v>
      </c>
      <c r="I151" s="221">
        <v>71</v>
      </c>
      <c r="J151" s="221">
        <v>85.2</v>
      </c>
      <c r="L151" s="19"/>
      <c r="M151" s="19"/>
    </row>
    <row r="152" spans="1:13" x14ac:dyDescent="0.3">
      <c r="A152" s="113">
        <v>1924</v>
      </c>
      <c r="B152" s="133" t="s">
        <v>36</v>
      </c>
      <c r="C152" s="230" t="s">
        <v>464</v>
      </c>
      <c r="D152" s="231"/>
      <c r="E152" s="231"/>
      <c r="F152" s="215"/>
      <c r="G152" s="215"/>
      <c r="H152" s="221">
        <v>13.6</v>
      </c>
      <c r="I152" s="221">
        <v>20.2</v>
      </c>
      <c r="J152" s="218" t="s">
        <v>110</v>
      </c>
      <c r="L152" s="19"/>
      <c r="M152" s="19"/>
    </row>
    <row r="153" spans="1:13" x14ac:dyDescent="0.3">
      <c r="A153" s="113">
        <v>1925</v>
      </c>
      <c r="B153" s="133" t="s">
        <v>39</v>
      </c>
      <c r="C153" s="230" t="s">
        <v>464</v>
      </c>
      <c r="D153" s="231"/>
      <c r="E153" s="231"/>
      <c r="F153" s="215"/>
      <c r="G153" s="215"/>
      <c r="H153" s="221">
        <v>54.9</v>
      </c>
      <c r="I153" s="221">
        <v>49</v>
      </c>
      <c r="J153" s="221">
        <v>48</v>
      </c>
      <c r="L153" s="19"/>
      <c r="M153" s="19"/>
    </row>
    <row r="154" spans="1:13" x14ac:dyDescent="0.3">
      <c r="A154" s="113">
        <v>1926</v>
      </c>
      <c r="B154" s="133" t="s">
        <v>42</v>
      </c>
      <c r="C154" s="230" t="s">
        <v>464</v>
      </c>
      <c r="D154" s="231"/>
      <c r="E154" s="231"/>
      <c r="F154" s="215"/>
      <c r="G154" s="215"/>
      <c r="H154" s="221">
        <v>56.9</v>
      </c>
      <c r="I154" s="221">
        <v>52.7</v>
      </c>
      <c r="J154" s="221">
        <v>46.8</v>
      </c>
      <c r="L154" s="19"/>
      <c r="M154" s="19"/>
    </row>
    <row r="155" spans="1:13" x14ac:dyDescent="0.3">
      <c r="A155" s="113">
        <v>1927</v>
      </c>
      <c r="B155" s="133" t="s">
        <v>45</v>
      </c>
      <c r="C155" s="230" t="s">
        <v>464</v>
      </c>
      <c r="D155" s="231"/>
      <c r="E155" s="231"/>
      <c r="F155" s="215"/>
      <c r="G155" s="215"/>
      <c r="H155" s="221">
        <v>46.2</v>
      </c>
      <c r="I155" s="221">
        <v>46.8</v>
      </c>
      <c r="J155" s="221">
        <v>42</v>
      </c>
      <c r="L155" s="19"/>
      <c r="M155" s="19"/>
    </row>
    <row r="156" spans="1:13" x14ac:dyDescent="0.3">
      <c r="A156" s="113">
        <v>1928</v>
      </c>
      <c r="B156" s="133" t="s">
        <v>49</v>
      </c>
      <c r="C156" s="230" t="s">
        <v>464</v>
      </c>
      <c r="D156" s="232"/>
      <c r="E156" s="232"/>
      <c r="F156" s="218"/>
      <c r="G156" s="218"/>
      <c r="H156" s="221">
        <v>43.2</v>
      </c>
      <c r="I156" s="221">
        <v>50.2</v>
      </c>
      <c r="J156" s="221">
        <v>48.4</v>
      </c>
      <c r="L156" s="19"/>
      <c r="M156" s="19"/>
    </row>
    <row r="157" spans="1:13" x14ac:dyDescent="0.3">
      <c r="A157" s="113">
        <v>1929</v>
      </c>
      <c r="B157" s="133" t="s">
        <v>53</v>
      </c>
      <c r="C157" s="230" t="s">
        <v>464</v>
      </c>
      <c r="D157" s="231"/>
      <c r="E157" s="231"/>
      <c r="F157" s="215"/>
      <c r="G157" s="215"/>
      <c r="H157" s="221">
        <v>43.5</v>
      </c>
      <c r="I157" s="221">
        <v>6.3</v>
      </c>
      <c r="J157" s="221">
        <v>37.799999999999997</v>
      </c>
      <c r="L157" s="19"/>
      <c r="M157" s="19"/>
    </row>
    <row r="158" spans="1:13" x14ac:dyDescent="0.3">
      <c r="A158" s="113">
        <v>1931</v>
      </c>
      <c r="B158" s="133" t="s">
        <v>56</v>
      </c>
      <c r="C158" s="230" t="s">
        <v>464</v>
      </c>
      <c r="D158" s="231"/>
      <c r="E158" s="231"/>
      <c r="F158" s="215"/>
      <c r="G158" s="215"/>
      <c r="H158" s="221">
        <v>70.7</v>
      </c>
      <c r="I158" s="221">
        <v>70.5</v>
      </c>
      <c r="J158" s="221">
        <v>68.8</v>
      </c>
      <c r="L158" s="19"/>
      <c r="M158" s="19"/>
    </row>
    <row r="159" spans="1:13" x14ac:dyDescent="0.3">
      <c r="A159" s="113">
        <v>1933</v>
      </c>
      <c r="B159" s="133" t="s">
        <v>60</v>
      </c>
      <c r="C159" s="230" t="s">
        <v>464</v>
      </c>
      <c r="D159" s="231"/>
      <c r="E159" s="231"/>
      <c r="F159" s="215"/>
      <c r="G159" s="215"/>
      <c r="H159" s="221">
        <v>54.1</v>
      </c>
      <c r="I159" s="221">
        <v>56.5</v>
      </c>
      <c r="J159" s="221">
        <v>54</v>
      </c>
      <c r="L159" s="19"/>
      <c r="M159" s="19"/>
    </row>
    <row r="160" spans="1:13" x14ac:dyDescent="0.3">
      <c r="A160" s="113">
        <v>1936</v>
      </c>
      <c r="B160" s="133" t="s">
        <v>62</v>
      </c>
      <c r="C160" s="230" t="s">
        <v>464</v>
      </c>
      <c r="D160" s="231"/>
      <c r="E160" s="231"/>
      <c r="F160" s="215"/>
      <c r="G160" s="215"/>
      <c r="H160" s="221">
        <v>61.2</v>
      </c>
      <c r="I160" s="221">
        <v>49.6</v>
      </c>
      <c r="J160" s="221">
        <v>72</v>
      </c>
      <c r="L160" s="19"/>
      <c r="M160" s="19"/>
    </row>
    <row r="161" spans="1:13" x14ac:dyDescent="0.3">
      <c r="A161" s="113">
        <v>1938</v>
      </c>
      <c r="B161" s="133" t="s">
        <v>66</v>
      </c>
      <c r="C161" s="230" t="s">
        <v>464</v>
      </c>
      <c r="D161" s="231"/>
      <c r="E161" s="231"/>
      <c r="F161" s="215"/>
      <c r="G161" s="215"/>
      <c r="H161" s="221">
        <v>119.8</v>
      </c>
      <c r="I161" s="221" t="s">
        <v>110</v>
      </c>
      <c r="J161" s="221">
        <v>107.7</v>
      </c>
      <c r="L161" s="19"/>
      <c r="M161" s="19"/>
    </row>
    <row r="162" spans="1:13" x14ac:dyDescent="0.3">
      <c r="A162" s="113">
        <v>1939</v>
      </c>
      <c r="B162" s="133" t="s">
        <v>70</v>
      </c>
      <c r="C162" s="230" t="s">
        <v>464</v>
      </c>
      <c r="D162" s="231"/>
      <c r="E162" s="231"/>
      <c r="F162" s="215"/>
      <c r="G162" s="218"/>
      <c r="H162" s="221">
        <v>60.7</v>
      </c>
      <c r="I162" s="221">
        <v>62.1</v>
      </c>
      <c r="J162" s="221">
        <v>48</v>
      </c>
      <c r="L162" s="19"/>
      <c r="M162" s="19"/>
    </row>
    <row r="163" spans="1:13" x14ac:dyDescent="0.3">
      <c r="A163" s="113">
        <v>1940</v>
      </c>
      <c r="B163" s="133" t="s">
        <v>95</v>
      </c>
      <c r="C163" s="230" t="s">
        <v>464</v>
      </c>
      <c r="D163" s="231"/>
      <c r="E163" s="231"/>
      <c r="F163" s="215"/>
      <c r="G163" s="215"/>
      <c r="H163" s="221">
        <v>47.2</v>
      </c>
      <c r="I163" s="221" t="s">
        <v>110</v>
      </c>
      <c r="J163" s="221">
        <v>39.5</v>
      </c>
      <c r="L163" s="19"/>
      <c r="M163" s="19"/>
    </row>
    <row r="164" spans="1:13" x14ac:dyDescent="0.3">
      <c r="A164" s="113">
        <v>1941</v>
      </c>
      <c r="B164" s="133" t="s">
        <v>77</v>
      </c>
      <c r="C164" s="230" t="s">
        <v>464</v>
      </c>
      <c r="D164" s="231"/>
      <c r="E164" s="231"/>
      <c r="F164" s="215"/>
      <c r="G164" s="215"/>
      <c r="H164" s="221">
        <v>56.4</v>
      </c>
      <c r="I164" s="221">
        <v>49.3</v>
      </c>
      <c r="J164" s="221">
        <v>53.6</v>
      </c>
      <c r="L164" s="19"/>
      <c r="M164" s="19"/>
    </row>
    <row r="165" spans="1:13" x14ac:dyDescent="0.3">
      <c r="A165" s="113">
        <v>1942</v>
      </c>
      <c r="B165" s="133" t="s">
        <v>81</v>
      </c>
      <c r="C165" s="230" t="s">
        <v>464</v>
      </c>
      <c r="D165" s="231"/>
      <c r="E165" s="231"/>
      <c r="F165" s="215"/>
      <c r="G165" s="215"/>
      <c r="H165" s="221">
        <v>44.2</v>
      </c>
      <c r="I165" s="221" t="s">
        <v>110</v>
      </c>
      <c r="J165" s="221">
        <v>62</v>
      </c>
      <c r="L165" s="19"/>
      <c r="M165" s="19"/>
    </row>
    <row r="166" spans="1:13" x14ac:dyDescent="0.3">
      <c r="A166" s="113">
        <v>1943</v>
      </c>
      <c r="B166" s="133" t="s">
        <v>84</v>
      </c>
      <c r="C166" s="230" t="s">
        <v>464</v>
      </c>
      <c r="D166" s="231"/>
      <c r="E166" s="231"/>
      <c r="F166" s="215"/>
      <c r="G166" s="215"/>
      <c r="H166" s="221">
        <v>1.9</v>
      </c>
      <c r="I166" s="221">
        <v>17.2</v>
      </c>
      <c r="J166" s="221">
        <v>24.6</v>
      </c>
      <c r="L166" s="19"/>
      <c r="M166" s="19"/>
    </row>
    <row r="167" spans="1:13" x14ac:dyDescent="0.3">
      <c r="A167" s="226" t="s">
        <v>175</v>
      </c>
      <c r="B167" s="133" t="s">
        <v>88</v>
      </c>
      <c r="C167" s="133" t="s">
        <v>264</v>
      </c>
      <c r="D167" s="133"/>
      <c r="E167" s="133"/>
      <c r="F167" s="133"/>
      <c r="G167" s="133"/>
      <c r="H167" s="132" t="s">
        <v>264</v>
      </c>
      <c r="I167" s="132" t="s">
        <v>264</v>
      </c>
      <c r="J167" s="132" t="s">
        <v>264</v>
      </c>
      <c r="L167" s="19"/>
      <c r="M167" s="19"/>
    </row>
    <row r="168" spans="1:13" x14ac:dyDescent="0.3">
      <c r="A168" s="8" t="s">
        <v>173</v>
      </c>
      <c r="B168" t="s">
        <v>174</v>
      </c>
      <c r="C168" t="s">
        <v>264</v>
      </c>
      <c r="H168" s="19" t="s">
        <v>264</v>
      </c>
      <c r="I168" s="19" t="s">
        <v>264</v>
      </c>
      <c r="J168" s="19" t="s">
        <v>264</v>
      </c>
      <c r="L168" s="19"/>
      <c r="M168" s="19"/>
    </row>
  </sheetData>
  <sortState ref="A3:G138">
    <sortCondition ref="C3:C138"/>
    <sortCondition ref="A3:A138"/>
  </sortState>
  <pageMargins left="0.70866141732283472" right="0.70866141732283472" top="0.74803149606299213" bottom="0.74803149606299213" header="0.31496062992125984" footer="0.31496062992125984"/>
  <pageSetup paperSize="9" scale="52" fitToHeight="0"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pageSetUpPr fitToPage="1"/>
  </sheetPr>
  <dimension ref="A1:W60"/>
  <sheetViews>
    <sheetView topLeftCell="A2" workbookViewId="0">
      <selection activeCell="G2" sqref="G2"/>
    </sheetView>
  </sheetViews>
  <sheetFormatPr baseColWidth="10" defaultRowHeight="14.4" x14ac:dyDescent="0.3"/>
  <cols>
    <col min="1" max="1" width="22.88671875" bestFit="1" customWidth="1"/>
    <col min="2" max="2" width="28.44140625" customWidth="1"/>
    <col min="3" max="3" width="15.33203125" customWidth="1"/>
    <col min="4" max="4" width="5.33203125" customWidth="1"/>
    <col min="5" max="5" width="7.6640625" customWidth="1"/>
    <col min="6" max="6" width="3.44140625" customWidth="1"/>
    <col min="7" max="7" width="9.6640625" customWidth="1"/>
    <col min="20" max="20" width="7.88671875" customWidth="1"/>
  </cols>
  <sheetData>
    <row r="1" spans="1:23" x14ac:dyDescent="0.3">
      <c r="C1" s="77">
        <v>2014</v>
      </c>
      <c r="F1" t="s">
        <v>264</v>
      </c>
      <c r="G1" t="s">
        <v>264</v>
      </c>
      <c r="O1" t="s">
        <v>264</v>
      </c>
      <c r="U1" t="s">
        <v>264</v>
      </c>
    </row>
    <row r="2" spans="1:23" s="14" customFormat="1" ht="115.2" x14ac:dyDescent="0.3">
      <c r="C2" s="17" t="s">
        <v>227</v>
      </c>
      <c r="D2" s="17" t="s">
        <v>228</v>
      </c>
      <c r="E2" s="17" t="s">
        <v>229</v>
      </c>
      <c r="F2" s="17"/>
      <c r="G2" s="17" t="s">
        <v>279</v>
      </c>
      <c r="H2" s="17" t="s">
        <v>231</v>
      </c>
      <c r="I2" s="17" t="s">
        <v>232</v>
      </c>
      <c r="J2" s="21" t="s">
        <v>233</v>
      </c>
      <c r="K2" s="21" t="s">
        <v>234</v>
      </c>
      <c r="L2" s="17" t="s">
        <v>235</v>
      </c>
      <c r="M2" s="21" t="s">
        <v>236</v>
      </c>
      <c r="N2" s="17" t="s">
        <v>237</v>
      </c>
      <c r="O2" s="17" t="s">
        <v>280</v>
      </c>
      <c r="P2" s="21" t="s">
        <v>238</v>
      </c>
      <c r="Q2" s="21" t="s">
        <v>239</v>
      </c>
      <c r="R2" s="21" t="s">
        <v>240</v>
      </c>
      <c r="S2" s="21" t="s">
        <v>241</v>
      </c>
      <c r="T2" s="21" t="s">
        <v>242</v>
      </c>
      <c r="U2" s="14" t="s">
        <v>244</v>
      </c>
    </row>
    <row r="3" spans="1:23" x14ac:dyDescent="0.3">
      <c r="A3" s="67">
        <v>1902</v>
      </c>
      <c r="B3" s="7" t="s">
        <v>10</v>
      </c>
      <c r="C3" s="127">
        <v>6.7</v>
      </c>
      <c r="D3" s="127">
        <v>17.899999999999999</v>
      </c>
      <c r="E3" s="127">
        <v>24.2</v>
      </c>
      <c r="F3" s="78"/>
      <c r="G3" s="127">
        <v>32.1</v>
      </c>
      <c r="H3" s="127">
        <v>6.2</v>
      </c>
      <c r="I3" s="127">
        <v>4.0999999999999996</v>
      </c>
      <c r="J3" s="127">
        <v>-0.6</v>
      </c>
      <c r="K3" s="127">
        <v>1</v>
      </c>
      <c r="L3" s="127">
        <v>4.3</v>
      </c>
      <c r="M3" s="127">
        <v>0.8</v>
      </c>
      <c r="N3" s="127">
        <v>1.7</v>
      </c>
      <c r="O3" s="74">
        <f t="shared" ref="O3:O60" si="0">J3+K3+M3+P3+Q3+R3+S3+T3</f>
        <v>3.3000000000000003</v>
      </c>
      <c r="P3" s="127">
        <v>0.6</v>
      </c>
      <c r="Q3" s="127">
        <v>0</v>
      </c>
      <c r="R3" s="127">
        <v>1.4</v>
      </c>
      <c r="S3" s="127">
        <v>0</v>
      </c>
      <c r="T3" s="127">
        <v>0.1</v>
      </c>
      <c r="U3" s="76">
        <f t="shared" ref="U3:U26" si="1">C3+D3+E3+G3+H3+I3+L3+N3+O3</f>
        <v>100.5</v>
      </c>
      <c r="W3" t="s">
        <v>264</v>
      </c>
    </row>
    <row r="4" spans="1:23" s="72" customFormat="1" x14ac:dyDescent="0.3">
      <c r="A4" s="67">
        <v>1903</v>
      </c>
      <c r="B4" s="8" t="s">
        <v>6</v>
      </c>
      <c r="C4" s="127">
        <v>7.1</v>
      </c>
      <c r="D4" s="127">
        <v>12.9</v>
      </c>
      <c r="E4" s="127">
        <v>23.4</v>
      </c>
      <c r="F4" s="78"/>
      <c r="G4" s="127">
        <v>39.5</v>
      </c>
      <c r="H4" s="127">
        <v>6</v>
      </c>
      <c r="I4" s="127">
        <v>3.7</v>
      </c>
      <c r="J4" s="127">
        <v>-0.8</v>
      </c>
      <c r="K4" s="127">
        <v>0.8</v>
      </c>
      <c r="L4" s="127">
        <v>4.0999999999999996</v>
      </c>
      <c r="M4" s="127">
        <v>1</v>
      </c>
      <c r="N4" s="127">
        <v>0.7</v>
      </c>
      <c r="O4" s="74">
        <f t="shared" si="0"/>
        <v>3</v>
      </c>
      <c r="P4" s="127">
        <v>-0.4</v>
      </c>
      <c r="Q4" s="127">
        <v>0</v>
      </c>
      <c r="R4" s="127">
        <v>1.7</v>
      </c>
      <c r="S4" s="127">
        <v>0</v>
      </c>
      <c r="T4" s="127">
        <v>0.7</v>
      </c>
      <c r="U4" s="76">
        <f t="shared" si="1"/>
        <v>100.4</v>
      </c>
    </row>
    <row r="5" spans="1:23" x14ac:dyDescent="0.3">
      <c r="A5" s="67">
        <v>1911</v>
      </c>
      <c r="B5" s="7" t="s">
        <v>14</v>
      </c>
      <c r="C5" s="127">
        <v>9.1</v>
      </c>
      <c r="D5" s="127">
        <v>6.7</v>
      </c>
      <c r="E5" s="127">
        <v>16.8</v>
      </c>
      <c r="F5" s="78"/>
      <c r="G5" s="127">
        <v>59.9</v>
      </c>
      <c r="H5" s="127">
        <v>3.5</v>
      </c>
      <c r="I5" s="127">
        <v>3.3</v>
      </c>
      <c r="J5" s="127">
        <v>0.1</v>
      </c>
      <c r="K5" s="127">
        <v>0.5</v>
      </c>
      <c r="L5" s="127">
        <v>2.1</v>
      </c>
      <c r="M5" s="127">
        <v>0.9</v>
      </c>
      <c r="N5" s="127">
        <v>1.6</v>
      </c>
      <c r="O5" s="74">
        <f t="shared" si="0"/>
        <v>1.9000000000000001</v>
      </c>
      <c r="P5" s="127">
        <v>-0.7</v>
      </c>
      <c r="Q5" s="127">
        <v>0.3</v>
      </c>
      <c r="R5" s="127">
        <v>0.8</v>
      </c>
      <c r="S5" s="127">
        <v>0</v>
      </c>
      <c r="T5" s="127">
        <v>0</v>
      </c>
      <c r="U5" s="76">
        <f t="shared" si="1"/>
        <v>104.89999999999999</v>
      </c>
    </row>
    <row r="6" spans="1:23" x14ac:dyDescent="0.3">
      <c r="A6" s="67">
        <v>1913</v>
      </c>
      <c r="B6" s="7" t="s">
        <v>18</v>
      </c>
      <c r="C6" s="127">
        <v>9.5</v>
      </c>
      <c r="D6" s="127">
        <v>11.1</v>
      </c>
      <c r="E6" s="127">
        <v>22.5</v>
      </c>
      <c r="F6" s="78"/>
      <c r="G6" s="127">
        <v>45</v>
      </c>
      <c r="H6" s="127">
        <v>3.6</v>
      </c>
      <c r="I6" s="127">
        <v>3.6</v>
      </c>
      <c r="J6" s="127">
        <v>-0.1</v>
      </c>
      <c r="K6" s="127">
        <v>1.9</v>
      </c>
      <c r="L6" s="127">
        <v>2.5</v>
      </c>
      <c r="M6" s="127">
        <v>1.5</v>
      </c>
      <c r="N6" s="127">
        <v>3.2</v>
      </c>
      <c r="O6" s="74">
        <f t="shared" si="0"/>
        <v>3.4</v>
      </c>
      <c r="P6" s="127">
        <v>-0.8</v>
      </c>
      <c r="Q6" s="127">
        <v>-0.1</v>
      </c>
      <c r="R6" s="127">
        <v>1</v>
      </c>
      <c r="S6" s="127">
        <v>0</v>
      </c>
      <c r="T6" s="127">
        <v>0</v>
      </c>
      <c r="U6" s="76">
        <f t="shared" si="1"/>
        <v>104.39999999999999</v>
      </c>
    </row>
    <row r="7" spans="1:23" x14ac:dyDescent="0.3">
      <c r="A7" s="67">
        <v>1917</v>
      </c>
      <c r="B7" s="7" t="s">
        <v>21</v>
      </c>
      <c r="C7" s="127">
        <v>14.1</v>
      </c>
      <c r="D7" s="127">
        <v>6</v>
      </c>
      <c r="E7" s="127">
        <v>17.2</v>
      </c>
      <c r="F7" s="78"/>
      <c r="G7" s="127">
        <v>44.9</v>
      </c>
      <c r="H7" s="127">
        <v>1.8</v>
      </c>
      <c r="I7" s="127">
        <v>6.7</v>
      </c>
      <c r="J7" s="127">
        <v>-0.2</v>
      </c>
      <c r="K7" s="127">
        <v>0.5</v>
      </c>
      <c r="L7" s="127">
        <v>3.7</v>
      </c>
      <c r="M7" s="127">
        <v>1.9</v>
      </c>
      <c r="N7" s="127">
        <v>3.3</v>
      </c>
      <c r="O7" s="74">
        <f t="shared" si="0"/>
        <v>5.3000000000000007</v>
      </c>
      <c r="P7" s="127">
        <v>0.2</v>
      </c>
      <c r="Q7" s="127">
        <v>1.4</v>
      </c>
      <c r="R7" s="127">
        <v>1.1000000000000001</v>
      </c>
      <c r="S7" s="127">
        <v>0</v>
      </c>
      <c r="T7" s="127">
        <v>0.4</v>
      </c>
      <c r="U7" s="76">
        <f t="shared" si="1"/>
        <v>102.99999999999999</v>
      </c>
    </row>
    <row r="8" spans="1:23" x14ac:dyDescent="0.3">
      <c r="A8" s="67">
        <v>1919</v>
      </c>
      <c r="B8" s="7" t="s">
        <v>24</v>
      </c>
      <c r="C8" s="127">
        <v>15</v>
      </c>
      <c r="D8" s="127">
        <v>7.5</v>
      </c>
      <c r="E8" s="127">
        <v>17</v>
      </c>
      <c r="F8" s="78"/>
      <c r="G8" s="127">
        <v>45</v>
      </c>
      <c r="H8" s="127">
        <v>6.1</v>
      </c>
      <c r="I8" s="127">
        <v>1.6</v>
      </c>
      <c r="J8" s="127">
        <v>0.3</v>
      </c>
      <c r="K8" s="127">
        <v>0.4</v>
      </c>
      <c r="L8" s="127">
        <v>1.8</v>
      </c>
      <c r="M8" s="127">
        <v>1.8</v>
      </c>
      <c r="N8" s="127">
        <v>3.6</v>
      </c>
      <c r="O8" s="74">
        <f t="shared" si="0"/>
        <v>4.5999999999999996</v>
      </c>
      <c r="P8" s="127">
        <v>0.3</v>
      </c>
      <c r="Q8" s="127">
        <v>0.3</v>
      </c>
      <c r="R8" s="127">
        <v>1.6</v>
      </c>
      <c r="S8" s="127">
        <v>0</v>
      </c>
      <c r="T8" s="127">
        <v>-0.1</v>
      </c>
      <c r="U8" s="76">
        <f t="shared" si="1"/>
        <v>102.19999999999997</v>
      </c>
    </row>
    <row r="9" spans="1:23" x14ac:dyDescent="0.3">
      <c r="A9" s="67">
        <v>1920</v>
      </c>
      <c r="B9" s="7" t="s">
        <v>27</v>
      </c>
      <c r="C9" s="127">
        <v>13.7</v>
      </c>
      <c r="D9" s="127">
        <v>13.4</v>
      </c>
      <c r="E9" s="127">
        <v>25.9</v>
      </c>
      <c r="F9" s="78"/>
      <c r="G9" s="127">
        <v>36.299999999999997</v>
      </c>
      <c r="H9" s="127">
        <v>4.3</v>
      </c>
      <c r="I9" s="127">
        <v>3.1</v>
      </c>
      <c r="J9" s="127">
        <v>-1</v>
      </c>
      <c r="K9" s="127">
        <v>0.5</v>
      </c>
      <c r="L9" s="127">
        <v>4.5</v>
      </c>
      <c r="M9" s="127">
        <v>1.2</v>
      </c>
      <c r="N9" s="127">
        <v>2.2999999999999998</v>
      </c>
      <c r="O9" s="74">
        <f t="shared" si="0"/>
        <v>0.9</v>
      </c>
      <c r="P9" s="127">
        <v>-2</v>
      </c>
      <c r="Q9" s="127">
        <v>0.6</v>
      </c>
      <c r="R9" s="127">
        <v>1.6</v>
      </c>
      <c r="S9" s="127">
        <v>0</v>
      </c>
      <c r="T9" s="127">
        <v>0</v>
      </c>
      <c r="U9" s="76">
        <f t="shared" si="1"/>
        <v>104.39999999999999</v>
      </c>
    </row>
    <row r="10" spans="1:23" x14ac:dyDescent="0.3">
      <c r="A10" s="67">
        <v>1922</v>
      </c>
      <c r="B10" s="7" t="s">
        <v>30</v>
      </c>
      <c r="C10" s="127">
        <v>10.1</v>
      </c>
      <c r="D10" s="127">
        <v>15</v>
      </c>
      <c r="E10" s="127">
        <v>25</v>
      </c>
      <c r="F10" s="78"/>
      <c r="G10" s="127">
        <v>43.1</v>
      </c>
      <c r="H10" s="127">
        <v>2.6</v>
      </c>
      <c r="I10" s="127">
        <v>3.4</v>
      </c>
      <c r="J10" s="127">
        <v>-0.2</v>
      </c>
      <c r="K10" s="127">
        <v>0.6</v>
      </c>
      <c r="L10" s="127">
        <v>4.9000000000000004</v>
      </c>
      <c r="M10" s="127">
        <v>1.2</v>
      </c>
      <c r="N10" s="127">
        <v>4.5</v>
      </c>
      <c r="O10" s="74">
        <f t="shared" si="0"/>
        <v>-3.8999999999999995</v>
      </c>
      <c r="P10" s="127">
        <v>-0.2</v>
      </c>
      <c r="Q10" s="127">
        <v>-6.6</v>
      </c>
      <c r="R10" s="127">
        <v>1.3</v>
      </c>
      <c r="S10" s="127">
        <v>0</v>
      </c>
      <c r="T10" s="127">
        <v>0</v>
      </c>
      <c r="U10" s="76">
        <f t="shared" si="1"/>
        <v>104.7</v>
      </c>
    </row>
    <row r="11" spans="1:23" x14ac:dyDescent="0.3">
      <c r="A11" s="67">
        <v>1923</v>
      </c>
      <c r="B11" s="7" t="s">
        <v>34</v>
      </c>
      <c r="C11" s="127">
        <v>11.4</v>
      </c>
      <c r="D11" s="127">
        <v>10.6</v>
      </c>
      <c r="E11" s="127">
        <v>21</v>
      </c>
      <c r="F11" s="78"/>
      <c r="G11" s="127">
        <v>38.4</v>
      </c>
      <c r="H11" s="127">
        <v>4.8</v>
      </c>
      <c r="I11" s="127">
        <v>8.1999999999999993</v>
      </c>
      <c r="J11" s="127">
        <v>-1.5</v>
      </c>
      <c r="K11" s="127">
        <v>2.2999999999999998</v>
      </c>
      <c r="L11" s="127">
        <v>5.3</v>
      </c>
      <c r="M11" s="127">
        <v>1.1000000000000001</v>
      </c>
      <c r="N11" s="127">
        <v>3.1</v>
      </c>
      <c r="O11" s="74">
        <f t="shared" si="0"/>
        <v>1.9999999999999991</v>
      </c>
      <c r="P11" s="127">
        <v>-0.1</v>
      </c>
      <c r="Q11" s="127">
        <v>1.9</v>
      </c>
      <c r="R11" s="127">
        <v>1</v>
      </c>
      <c r="S11" s="127">
        <v>0</v>
      </c>
      <c r="T11" s="127">
        <v>-2.7</v>
      </c>
      <c r="U11" s="76">
        <f t="shared" si="1"/>
        <v>104.8</v>
      </c>
    </row>
    <row r="12" spans="1:23" x14ac:dyDescent="0.3">
      <c r="A12" s="67">
        <v>1924</v>
      </c>
      <c r="B12" s="7" t="s">
        <v>36</v>
      </c>
      <c r="C12" s="127">
        <v>8.6</v>
      </c>
      <c r="D12" s="127">
        <v>10.8</v>
      </c>
      <c r="E12" s="127">
        <v>21.4</v>
      </c>
      <c r="F12" s="78"/>
      <c r="G12" s="127">
        <v>44.5</v>
      </c>
      <c r="H12" s="127">
        <v>3.1</v>
      </c>
      <c r="I12" s="127">
        <v>3</v>
      </c>
      <c r="J12" s="127">
        <v>-1.2</v>
      </c>
      <c r="K12" s="127">
        <v>0.8</v>
      </c>
      <c r="L12" s="127">
        <v>3.1</v>
      </c>
      <c r="M12" s="127">
        <v>1.2</v>
      </c>
      <c r="N12" s="127">
        <v>3.8</v>
      </c>
      <c r="O12" s="74">
        <f t="shared" si="0"/>
        <v>3.5</v>
      </c>
      <c r="P12" s="127">
        <v>-0.5</v>
      </c>
      <c r="Q12" s="127">
        <v>1.3</v>
      </c>
      <c r="R12" s="127">
        <v>1.2</v>
      </c>
      <c r="S12" s="127">
        <v>0</v>
      </c>
      <c r="T12" s="127">
        <v>0.7</v>
      </c>
      <c r="U12" s="76">
        <f t="shared" si="1"/>
        <v>101.79999999999998</v>
      </c>
    </row>
    <row r="13" spans="1:23" x14ac:dyDescent="0.3">
      <c r="A13" s="67">
        <v>1925</v>
      </c>
      <c r="B13" s="7" t="s">
        <v>39</v>
      </c>
      <c r="C13" s="127">
        <v>10.4</v>
      </c>
      <c r="D13" s="127">
        <v>13.4</v>
      </c>
      <c r="E13" s="127">
        <v>24.5</v>
      </c>
      <c r="F13" s="78"/>
      <c r="G13" s="127">
        <v>40.799999999999997</v>
      </c>
      <c r="H13" s="127">
        <v>3.5</v>
      </c>
      <c r="I13" s="127">
        <v>4.2</v>
      </c>
      <c r="J13" s="127">
        <v>-1.9</v>
      </c>
      <c r="K13" s="127">
        <v>0.8</v>
      </c>
      <c r="L13" s="127">
        <v>3.1</v>
      </c>
      <c r="M13" s="127">
        <v>1.1000000000000001</v>
      </c>
      <c r="N13" s="127">
        <v>3</v>
      </c>
      <c r="O13" s="74">
        <f t="shared" si="0"/>
        <v>0.90000000000000024</v>
      </c>
      <c r="P13" s="127">
        <v>-0.4</v>
      </c>
      <c r="Q13" s="127">
        <v>0.2</v>
      </c>
      <c r="R13" s="127">
        <v>1.5</v>
      </c>
      <c r="S13" s="127">
        <v>0</v>
      </c>
      <c r="T13" s="127">
        <v>-0.4</v>
      </c>
      <c r="U13" s="76">
        <f t="shared" si="1"/>
        <v>103.8</v>
      </c>
    </row>
    <row r="14" spans="1:23" x14ac:dyDescent="0.3">
      <c r="A14" s="67">
        <v>1926</v>
      </c>
      <c r="B14" s="7" t="s">
        <v>42</v>
      </c>
      <c r="C14" s="127">
        <v>10.6</v>
      </c>
      <c r="D14" s="127">
        <v>7.4</v>
      </c>
      <c r="E14" s="127">
        <v>16.7</v>
      </c>
      <c r="F14" s="78"/>
      <c r="G14" s="127">
        <v>49.1</v>
      </c>
      <c r="H14" s="127">
        <v>1.1000000000000001</v>
      </c>
      <c r="I14" s="127">
        <v>1.7</v>
      </c>
      <c r="J14" s="127">
        <v>-3.1</v>
      </c>
      <c r="K14" s="127">
        <v>0.9</v>
      </c>
      <c r="L14" s="127">
        <v>4</v>
      </c>
      <c r="M14" s="127">
        <v>2.1</v>
      </c>
      <c r="N14" s="127">
        <v>3.9</v>
      </c>
      <c r="O14" s="74">
        <f t="shared" si="0"/>
        <v>9.5000000000000018</v>
      </c>
      <c r="P14" s="127">
        <v>4.4000000000000004</v>
      </c>
      <c r="Q14" s="127">
        <v>4.3</v>
      </c>
      <c r="R14" s="127">
        <v>1</v>
      </c>
      <c r="S14" s="127">
        <v>0</v>
      </c>
      <c r="T14" s="127">
        <v>-0.1</v>
      </c>
      <c r="U14" s="76">
        <f t="shared" si="1"/>
        <v>104.00000000000001</v>
      </c>
    </row>
    <row r="15" spans="1:23" x14ac:dyDescent="0.3">
      <c r="A15" s="67">
        <v>1927</v>
      </c>
      <c r="B15" s="7" t="s">
        <v>45</v>
      </c>
      <c r="C15" s="127">
        <v>10.8</v>
      </c>
      <c r="D15" s="127">
        <v>7.5</v>
      </c>
      <c r="E15" s="127">
        <v>20.6</v>
      </c>
      <c r="F15" s="78"/>
      <c r="G15" s="127">
        <v>44</v>
      </c>
      <c r="H15" s="127">
        <v>7.4</v>
      </c>
      <c r="I15" s="127">
        <v>2</v>
      </c>
      <c r="J15" s="127">
        <v>-0.1</v>
      </c>
      <c r="K15" s="127">
        <v>1.5</v>
      </c>
      <c r="L15" s="127">
        <v>1.2</v>
      </c>
      <c r="M15" s="127">
        <v>1.7</v>
      </c>
      <c r="N15" s="127">
        <v>4.5</v>
      </c>
      <c r="O15" s="74">
        <f t="shared" si="0"/>
        <v>5.6999999999999993</v>
      </c>
      <c r="P15" s="127">
        <v>0.4</v>
      </c>
      <c r="Q15" s="127">
        <v>0.9</v>
      </c>
      <c r="R15" s="127">
        <v>1.3</v>
      </c>
      <c r="S15" s="127">
        <v>0</v>
      </c>
      <c r="T15" s="127">
        <v>0</v>
      </c>
      <c r="U15" s="76">
        <f t="shared" si="1"/>
        <v>103.70000000000002</v>
      </c>
    </row>
    <row r="16" spans="1:23" x14ac:dyDescent="0.3">
      <c r="A16" s="67">
        <v>1928</v>
      </c>
      <c r="B16" s="7" t="s">
        <v>49</v>
      </c>
      <c r="C16" s="127">
        <v>16.7</v>
      </c>
      <c r="D16" s="127">
        <v>8.1</v>
      </c>
      <c r="E16" s="127">
        <v>22.2</v>
      </c>
      <c r="F16" s="78"/>
      <c r="G16" s="127">
        <v>47.3</v>
      </c>
      <c r="H16" s="127">
        <v>2.5</v>
      </c>
      <c r="I16" s="127">
        <v>0.8</v>
      </c>
      <c r="J16" s="127">
        <v>-1.4</v>
      </c>
      <c r="K16" s="127">
        <v>1.7</v>
      </c>
      <c r="L16" s="127">
        <v>1.2</v>
      </c>
      <c r="M16" s="127">
        <v>1.2</v>
      </c>
      <c r="N16" s="127">
        <v>3</v>
      </c>
      <c r="O16" s="74">
        <f t="shared" si="0"/>
        <v>3.0999999999999996</v>
      </c>
      <c r="P16" s="127">
        <v>-0.2</v>
      </c>
      <c r="Q16" s="127">
        <v>0.6</v>
      </c>
      <c r="R16" s="127">
        <v>1.2</v>
      </c>
      <c r="S16" s="127">
        <v>0</v>
      </c>
      <c r="T16" s="127">
        <v>0</v>
      </c>
      <c r="U16" s="76">
        <f t="shared" si="1"/>
        <v>104.89999999999999</v>
      </c>
    </row>
    <row r="17" spans="1:21" x14ac:dyDescent="0.3">
      <c r="A17" s="67">
        <v>1929</v>
      </c>
      <c r="B17" s="7" t="s">
        <v>53</v>
      </c>
      <c r="C17" s="127">
        <v>17.3</v>
      </c>
      <c r="D17" s="127">
        <v>11.3</v>
      </c>
      <c r="E17" s="127">
        <v>15.3</v>
      </c>
      <c r="F17" s="78"/>
      <c r="G17" s="127">
        <v>45</v>
      </c>
      <c r="H17" s="127">
        <v>-0.4</v>
      </c>
      <c r="I17" s="127">
        <v>3.3</v>
      </c>
      <c r="J17" s="127">
        <v>-0.5</v>
      </c>
      <c r="K17" s="127">
        <v>2</v>
      </c>
      <c r="L17" s="127">
        <v>2.7</v>
      </c>
      <c r="M17" s="127">
        <v>1.8</v>
      </c>
      <c r="N17" s="127">
        <v>4.8</v>
      </c>
      <c r="O17" s="74">
        <f t="shared" si="0"/>
        <v>5.8</v>
      </c>
      <c r="P17" s="127">
        <v>0.6</v>
      </c>
      <c r="Q17" s="127">
        <v>0</v>
      </c>
      <c r="R17" s="127">
        <v>1.9</v>
      </c>
      <c r="S17" s="127">
        <v>0</v>
      </c>
      <c r="T17" s="127">
        <v>0</v>
      </c>
      <c r="U17" s="76">
        <f t="shared" si="1"/>
        <v>105.1</v>
      </c>
    </row>
    <row r="18" spans="1:21" x14ac:dyDescent="0.3">
      <c r="A18" s="67">
        <v>1931</v>
      </c>
      <c r="B18" s="7" t="s">
        <v>56</v>
      </c>
      <c r="C18" s="127">
        <v>8.1</v>
      </c>
      <c r="D18" s="127">
        <v>14.1</v>
      </c>
      <c r="E18" s="127">
        <v>25.7</v>
      </c>
      <c r="F18" s="78"/>
      <c r="G18" s="127">
        <v>41.1</v>
      </c>
      <c r="H18" s="127">
        <v>3</v>
      </c>
      <c r="I18" s="127">
        <v>2.9</v>
      </c>
      <c r="J18" s="127">
        <v>-1.5</v>
      </c>
      <c r="K18" s="127">
        <v>0.9</v>
      </c>
      <c r="L18" s="127">
        <v>3.7</v>
      </c>
      <c r="M18" s="127">
        <v>0.9</v>
      </c>
      <c r="N18" s="127">
        <v>2.1</v>
      </c>
      <c r="O18" s="74">
        <f t="shared" si="0"/>
        <v>2.2000000000000002</v>
      </c>
      <c r="P18" s="127">
        <v>-0.2</v>
      </c>
      <c r="Q18" s="127">
        <v>0.3</v>
      </c>
      <c r="R18" s="127">
        <v>1.6</v>
      </c>
      <c r="S18" s="127">
        <v>0.1</v>
      </c>
      <c r="T18" s="127">
        <v>0.1</v>
      </c>
      <c r="U18" s="76">
        <f t="shared" si="1"/>
        <v>102.9</v>
      </c>
    </row>
    <row r="19" spans="1:21" x14ac:dyDescent="0.3">
      <c r="A19" s="67">
        <v>1933</v>
      </c>
      <c r="B19" s="7" t="s">
        <v>60</v>
      </c>
      <c r="C19" s="127">
        <v>9.3000000000000007</v>
      </c>
      <c r="D19" s="127">
        <v>9.5</v>
      </c>
      <c r="E19" s="127">
        <v>26.7</v>
      </c>
      <c r="F19" s="78"/>
      <c r="G19" s="127">
        <v>46.8</v>
      </c>
      <c r="H19" s="127">
        <v>2</v>
      </c>
      <c r="I19" s="127">
        <v>2.2999999999999998</v>
      </c>
      <c r="J19" s="127">
        <v>-1.3</v>
      </c>
      <c r="K19" s="127">
        <v>0.2</v>
      </c>
      <c r="L19" s="127">
        <v>1.5</v>
      </c>
      <c r="M19" s="127">
        <v>0.9</v>
      </c>
      <c r="N19" s="127">
        <v>3.5</v>
      </c>
      <c r="O19" s="74">
        <f t="shared" si="0"/>
        <v>1</v>
      </c>
      <c r="P19" s="127">
        <v>-0.5</v>
      </c>
      <c r="Q19" s="127">
        <v>0.6</v>
      </c>
      <c r="R19" s="127">
        <v>1.3</v>
      </c>
      <c r="S19" s="127">
        <v>0</v>
      </c>
      <c r="T19" s="127">
        <v>-0.2</v>
      </c>
      <c r="U19" s="76">
        <f t="shared" si="1"/>
        <v>102.6</v>
      </c>
    </row>
    <row r="20" spans="1:21" x14ac:dyDescent="0.3">
      <c r="A20" s="67">
        <v>1936</v>
      </c>
      <c r="B20" s="7" t="s">
        <v>62</v>
      </c>
      <c r="C20" s="127">
        <v>14.3</v>
      </c>
      <c r="D20" s="127">
        <v>8.1</v>
      </c>
      <c r="E20" s="127">
        <v>22.9</v>
      </c>
      <c r="F20" s="78"/>
      <c r="G20" s="127">
        <v>45.8</v>
      </c>
      <c r="H20" s="127">
        <v>2.6</v>
      </c>
      <c r="I20" s="127">
        <v>3.1</v>
      </c>
      <c r="J20" s="127">
        <v>-1.5</v>
      </c>
      <c r="K20" s="127">
        <v>0.7</v>
      </c>
      <c r="L20" s="127">
        <v>2.6</v>
      </c>
      <c r="M20" s="127">
        <v>1</v>
      </c>
      <c r="N20" s="127">
        <v>2.5</v>
      </c>
      <c r="O20" s="74">
        <f t="shared" si="0"/>
        <v>1.1999999999999997</v>
      </c>
      <c r="P20" s="127">
        <v>-0.8</v>
      </c>
      <c r="Q20" s="127">
        <v>0.6</v>
      </c>
      <c r="R20" s="127">
        <v>1.2</v>
      </c>
      <c r="S20" s="127">
        <v>0</v>
      </c>
      <c r="T20" s="127">
        <v>0</v>
      </c>
      <c r="U20" s="76">
        <f t="shared" si="1"/>
        <v>103.09999999999998</v>
      </c>
    </row>
    <row r="21" spans="1:21" x14ac:dyDescent="0.3">
      <c r="A21" s="67">
        <v>1938</v>
      </c>
      <c r="B21" s="7" t="s">
        <v>66</v>
      </c>
      <c r="C21" s="127">
        <v>11.1</v>
      </c>
      <c r="D21" s="127">
        <v>8.3000000000000007</v>
      </c>
      <c r="E21" s="127">
        <v>25.3</v>
      </c>
      <c r="F21" s="78"/>
      <c r="G21" s="127">
        <v>39.1</v>
      </c>
      <c r="H21" s="127">
        <v>2.7</v>
      </c>
      <c r="I21" s="127">
        <v>1.6</v>
      </c>
      <c r="J21" s="127">
        <v>-0.3</v>
      </c>
      <c r="K21" s="127">
        <v>1.4</v>
      </c>
      <c r="L21" s="127">
        <v>2.8</v>
      </c>
      <c r="M21" s="127">
        <v>1.8</v>
      </c>
      <c r="N21" s="127">
        <v>2.1</v>
      </c>
      <c r="O21" s="74">
        <f t="shared" si="0"/>
        <v>7.4</v>
      </c>
      <c r="P21" s="127">
        <v>0.2</v>
      </c>
      <c r="Q21" s="127">
        <v>1.3</v>
      </c>
      <c r="R21" s="127">
        <v>1.4</v>
      </c>
      <c r="S21" s="127">
        <v>0</v>
      </c>
      <c r="T21" s="127">
        <v>1.6</v>
      </c>
      <c r="U21" s="76">
        <f t="shared" si="1"/>
        <v>100.4</v>
      </c>
    </row>
    <row r="22" spans="1:21" x14ac:dyDescent="0.3">
      <c r="A22" s="67">
        <v>1939</v>
      </c>
      <c r="B22" s="7" t="s">
        <v>70</v>
      </c>
      <c r="C22" s="127">
        <v>15.8</v>
      </c>
      <c r="D22" s="127">
        <v>8.9</v>
      </c>
      <c r="E22" s="127">
        <v>23.7</v>
      </c>
      <c r="F22" s="78"/>
      <c r="G22" s="127">
        <v>38.799999999999997</v>
      </c>
      <c r="H22" s="127">
        <v>1.9</v>
      </c>
      <c r="I22" s="127">
        <v>3.7</v>
      </c>
      <c r="J22" s="127">
        <v>-1.7</v>
      </c>
      <c r="K22" s="127">
        <v>1.8</v>
      </c>
      <c r="L22" s="127">
        <v>3.3</v>
      </c>
      <c r="M22" s="127">
        <v>1.1000000000000001</v>
      </c>
      <c r="N22" s="127">
        <v>2.8</v>
      </c>
      <c r="O22" s="74">
        <f t="shared" si="0"/>
        <v>-0.6</v>
      </c>
      <c r="P22" s="127">
        <v>0.9</v>
      </c>
      <c r="Q22" s="127">
        <v>-4.5</v>
      </c>
      <c r="R22" s="127">
        <v>1.9</v>
      </c>
      <c r="S22" s="127">
        <v>0</v>
      </c>
      <c r="T22" s="127">
        <v>-0.1</v>
      </c>
      <c r="U22" s="76">
        <f t="shared" si="1"/>
        <v>98.300000000000011</v>
      </c>
    </row>
    <row r="23" spans="1:21" x14ac:dyDescent="0.3">
      <c r="A23" s="67">
        <v>1940</v>
      </c>
      <c r="B23" s="7" t="s">
        <v>95</v>
      </c>
      <c r="C23" s="127">
        <v>12.2</v>
      </c>
      <c r="D23" s="127">
        <v>8.1999999999999993</v>
      </c>
      <c r="E23" s="127">
        <v>22</v>
      </c>
      <c r="F23" s="78"/>
      <c r="G23" s="127">
        <v>43</v>
      </c>
      <c r="H23" s="127">
        <v>3.1</v>
      </c>
      <c r="I23" s="127">
        <v>1</v>
      </c>
      <c r="J23" s="127">
        <v>0.4</v>
      </c>
      <c r="K23" s="127">
        <v>1.6</v>
      </c>
      <c r="L23" s="127">
        <v>4</v>
      </c>
      <c r="M23" s="127">
        <v>1.6</v>
      </c>
      <c r="N23" s="127">
        <v>2.7</v>
      </c>
      <c r="O23" s="74">
        <f t="shared" si="0"/>
        <v>5.2</v>
      </c>
      <c r="P23" s="127">
        <v>0.1</v>
      </c>
      <c r="Q23" s="127">
        <v>-0.8</v>
      </c>
      <c r="R23" s="127">
        <v>1.8</v>
      </c>
      <c r="S23" s="127">
        <v>0</v>
      </c>
      <c r="T23" s="127">
        <v>0.5</v>
      </c>
      <c r="U23" s="76">
        <f t="shared" si="1"/>
        <v>101.4</v>
      </c>
    </row>
    <row r="24" spans="1:21" x14ac:dyDescent="0.3">
      <c r="A24" s="67">
        <v>1941</v>
      </c>
      <c r="B24" s="7" t="s">
        <v>77</v>
      </c>
      <c r="C24" s="127">
        <v>12.5</v>
      </c>
      <c r="D24" s="127">
        <v>10.4</v>
      </c>
      <c r="E24" s="127">
        <v>22.2</v>
      </c>
      <c r="F24" s="78"/>
      <c r="G24" s="127">
        <v>41.3</v>
      </c>
      <c r="H24" s="127">
        <v>2.6</v>
      </c>
      <c r="I24" s="127">
        <v>4.9000000000000004</v>
      </c>
      <c r="J24" s="127">
        <v>-0.5</v>
      </c>
      <c r="K24" s="127">
        <v>0.4</v>
      </c>
      <c r="L24" s="127">
        <v>3.1</v>
      </c>
      <c r="M24" s="127">
        <v>1.4</v>
      </c>
      <c r="N24" s="127">
        <v>2.2999999999999998</v>
      </c>
      <c r="O24" s="74">
        <f t="shared" si="0"/>
        <v>3.1999999999999997</v>
      </c>
      <c r="P24" s="127">
        <v>-1.3</v>
      </c>
      <c r="Q24" s="127">
        <v>-0.2</v>
      </c>
      <c r="R24" s="127">
        <v>3.4</v>
      </c>
      <c r="S24" s="127">
        <v>0</v>
      </c>
      <c r="T24" s="127">
        <v>0</v>
      </c>
      <c r="U24" s="76">
        <f t="shared" si="1"/>
        <v>102.49999999999999</v>
      </c>
    </row>
    <row r="25" spans="1:21" x14ac:dyDescent="0.3">
      <c r="A25" s="67">
        <v>1942</v>
      </c>
      <c r="B25" s="7" t="s">
        <v>81</v>
      </c>
      <c r="C25" s="127">
        <v>9.4</v>
      </c>
      <c r="D25" s="127">
        <v>11.4</v>
      </c>
      <c r="E25" s="127">
        <v>23.1</v>
      </c>
      <c r="F25" s="78"/>
      <c r="G25" s="127">
        <v>39.6</v>
      </c>
      <c r="H25" s="127">
        <v>4.8</v>
      </c>
      <c r="I25" s="127">
        <v>3.5</v>
      </c>
      <c r="J25" s="127">
        <v>-0.7</v>
      </c>
      <c r="K25" s="127">
        <v>0.8</v>
      </c>
      <c r="L25" s="127">
        <v>3.1</v>
      </c>
      <c r="M25" s="127">
        <v>1.3</v>
      </c>
      <c r="N25" s="127">
        <v>3.5</v>
      </c>
      <c r="O25" s="74">
        <f t="shared" si="0"/>
        <v>4.5</v>
      </c>
      <c r="P25" s="127">
        <v>-0.1</v>
      </c>
      <c r="Q25" s="127">
        <v>0.9</v>
      </c>
      <c r="R25" s="127">
        <v>1.4</v>
      </c>
      <c r="S25" s="127">
        <v>0</v>
      </c>
      <c r="T25" s="127">
        <v>0.9</v>
      </c>
      <c r="U25" s="76">
        <f t="shared" si="1"/>
        <v>102.89999999999999</v>
      </c>
    </row>
    <row r="26" spans="1:21" x14ac:dyDescent="0.3">
      <c r="A26" s="67">
        <v>1943</v>
      </c>
      <c r="B26" s="7" t="s">
        <v>84</v>
      </c>
      <c r="C26" s="127">
        <v>12.7</v>
      </c>
      <c r="D26" s="127">
        <v>8.1999999999999993</v>
      </c>
      <c r="E26" s="127">
        <v>22.1</v>
      </c>
      <c r="F26" s="78"/>
      <c r="G26" s="127">
        <v>42</v>
      </c>
      <c r="H26" s="127">
        <v>1.7</v>
      </c>
      <c r="I26" s="127">
        <v>2.5</v>
      </c>
      <c r="J26" s="127">
        <v>-0.2</v>
      </c>
      <c r="K26" s="127">
        <v>1.6</v>
      </c>
      <c r="L26" s="127">
        <v>2</v>
      </c>
      <c r="M26" s="127">
        <v>1.4</v>
      </c>
      <c r="N26" s="127">
        <v>4.2</v>
      </c>
      <c r="O26" s="74">
        <f t="shared" si="0"/>
        <v>4.7</v>
      </c>
      <c r="P26" s="127">
        <v>0.2</v>
      </c>
      <c r="Q26" s="127">
        <v>-0.4</v>
      </c>
      <c r="R26" s="127">
        <v>1.9</v>
      </c>
      <c r="S26" s="127">
        <v>0</v>
      </c>
      <c r="T26" s="127">
        <v>0.2</v>
      </c>
      <c r="U26" s="76">
        <f t="shared" si="1"/>
        <v>100.10000000000001</v>
      </c>
    </row>
    <row r="27" spans="1:21" s="76" customFormat="1" x14ac:dyDescent="0.3">
      <c r="A27" s="67" t="s">
        <v>197</v>
      </c>
      <c r="B27" s="73" t="s">
        <v>243</v>
      </c>
      <c r="C27" s="127">
        <v>8.1999999999999993</v>
      </c>
      <c r="D27" s="127">
        <v>14.9</v>
      </c>
      <c r="E27" s="127">
        <v>24.4</v>
      </c>
      <c r="F27" s="78"/>
      <c r="G27" s="127">
        <v>38</v>
      </c>
      <c r="H27" s="127">
        <v>5.0999999999999996</v>
      </c>
      <c r="I27" s="127">
        <v>3.4</v>
      </c>
      <c r="J27" s="127">
        <v>-0.7</v>
      </c>
      <c r="K27" s="127">
        <v>1.2</v>
      </c>
      <c r="L27" s="127">
        <v>3.8</v>
      </c>
      <c r="M27" s="127">
        <v>1.2</v>
      </c>
      <c r="N27" s="127">
        <v>1.6</v>
      </c>
      <c r="O27" s="74">
        <f>J27+K27+M27+P27+Q27+R27+S27+T27</f>
        <v>3</v>
      </c>
      <c r="P27" s="127">
        <v>-0.1</v>
      </c>
      <c r="Q27" s="127">
        <v>-0.2</v>
      </c>
      <c r="R27" s="127">
        <v>1.5</v>
      </c>
      <c r="S27" s="127">
        <v>0</v>
      </c>
      <c r="T27" s="127">
        <v>0.1</v>
      </c>
      <c r="U27" s="76">
        <f>C27+D27+E27+G27+H27+I27+L27+N27+O27</f>
        <v>102.39999999999999</v>
      </c>
    </row>
    <row r="28" spans="1:21" x14ac:dyDescent="0.3">
      <c r="A28" s="67" t="s">
        <v>175</v>
      </c>
      <c r="B28" s="8" t="s">
        <v>88</v>
      </c>
      <c r="C28" s="127">
        <v>8.6</v>
      </c>
      <c r="D28" s="127">
        <v>13.7</v>
      </c>
      <c r="E28" s="127">
        <v>23.4</v>
      </c>
      <c r="F28" s="78"/>
      <c r="G28" s="127">
        <v>38.700000000000003</v>
      </c>
      <c r="H28" s="127">
        <v>4.7</v>
      </c>
      <c r="I28" s="127">
        <v>3.6</v>
      </c>
      <c r="J28" s="127">
        <v>-0.8</v>
      </c>
      <c r="K28" s="127">
        <v>1</v>
      </c>
      <c r="L28" s="127">
        <v>3.7</v>
      </c>
      <c r="M28" s="127">
        <v>1</v>
      </c>
      <c r="N28" s="127">
        <v>2.2000000000000002</v>
      </c>
      <c r="O28" s="15">
        <f t="shared" si="0"/>
        <v>3</v>
      </c>
      <c r="P28" s="127">
        <v>0.1</v>
      </c>
      <c r="Q28" s="127">
        <v>0</v>
      </c>
      <c r="R28" s="127">
        <v>1.5</v>
      </c>
      <c r="S28" s="127">
        <v>0</v>
      </c>
      <c r="T28" s="127">
        <v>0.2</v>
      </c>
      <c r="U28">
        <f t="shared" ref="U28:U60" si="2">C28+D28+E28+F28+G28+H28+I28+J28+K28+L28+M28+N28+P28+Q28+R28+S28+T28</f>
        <v>101.60000000000001</v>
      </c>
    </row>
    <row r="29" spans="1:21" x14ac:dyDescent="0.3">
      <c r="A29" s="67" t="s">
        <v>176</v>
      </c>
      <c r="B29" s="8" t="s">
        <v>176</v>
      </c>
      <c r="C29" s="127">
        <v>10.7</v>
      </c>
      <c r="D29" s="127">
        <v>11.8</v>
      </c>
      <c r="E29" s="127">
        <v>23.8</v>
      </c>
      <c r="F29" s="78"/>
      <c r="G29" s="127">
        <v>41.2</v>
      </c>
      <c r="H29" s="127">
        <v>3.3</v>
      </c>
      <c r="I29" s="127">
        <v>3.2</v>
      </c>
      <c r="J29" s="127">
        <v>-0.3</v>
      </c>
      <c r="K29" s="127">
        <v>1.3</v>
      </c>
      <c r="L29" s="127">
        <v>3.5</v>
      </c>
      <c r="M29" s="127">
        <v>1.5</v>
      </c>
      <c r="N29" s="127">
        <v>2</v>
      </c>
      <c r="O29" s="15">
        <f t="shared" si="0"/>
        <v>3.5</v>
      </c>
      <c r="P29" s="127">
        <v>-0.4</v>
      </c>
      <c r="Q29" s="127">
        <v>0</v>
      </c>
      <c r="R29" s="127">
        <v>1.4</v>
      </c>
      <c r="S29" s="127">
        <v>0</v>
      </c>
      <c r="T29" s="127">
        <v>0</v>
      </c>
      <c r="U29">
        <f t="shared" si="2"/>
        <v>103</v>
      </c>
    </row>
    <row r="30" spans="1:21" x14ac:dyDescent="0.3">
      <c r="A30" s="67" t="s">
        <v>177</v>
      </c>
      <c r="B30" s="8" t="s">
        <v>177</v>
      </c>
      <c r="C30" s="127">
        <v>11.8</v>
      </c>
      <c r="D30" s="127">
        <v>11.3</v>
      </c>
      <c r="E30" s="127">
        <v>24.4</v>
      </c>
      <c r="F30" s="78"/>
      <c r="G30" s="127">
        <v>41.8</v>
      </c>
      <c r="H30" s="127">
        <v>3.3</v>
      </c>
      <c r="I30" s="127">
        <v>3.1</v>
      </c>
      <c r="J30" s="127">
        <v>-0.8</v>
      </c>
      <c r="K30" s="127">
        <v>1.2</v>
      </c>
      <c r="L30" s="127">
        <v>4.2</v>
      </c>
      <c r="M30" s="127">
        <v>1.5</v>
      </c>
      <c r="N30" s="127">
        <v>2.4</v>
      </c>
      <c r="O30" s="15">
        <f t="shared" si="0"/>
        <v>9.99999999999997E-2</v>
      </c>
      <c r="P30" s="127">
        <v>-0.1</v>
      </c>
      <c r="Q30" s="127">
        <v>-3.6</v>
      </c>
      <c r="R30" s="127">
        <v>1.7</v>
      </c>
      <c r="S30" s="127">
        <v>0</v>
      </c>
      <c r="T30" s="127">
        <v>0.2</v>
      </c>
      <c r="U30">
        <f t="shared" si="2"/>
        <v>102.40000000000002</v>
      </c>
    </row>
    <row r="31" spans="1:21" s="76" customFormat="1" x14ac:dyDescent="0.3">
      <c r="A31" s="67" t="s">
        <v>377</v>
      </c>
      <c r="B31" s="8" t="s">
        <v>377</v>
      </c>
      <c r="C31" s="127">
        <v>13.1</v>
      </c>
      <c r="D31" s="127">
        <v>10.5</v>
      </c>
      <c r="E31" s="127">
        <v>23.5</v>
      </c>
      <c r="F31" s="78"/>
      <c r="G31" s="127">
        <v>40.200000000000003</v>
      </c>
      <c r="H31" s="127">
        <v>1.8</v>
      </c>
      <c r="I31" s="127">
        <v>1.9</v>
      </c>
      <c r="J31" s="127">
        <v>-0.1</v>
      </c>
      <c r="K31" s="127">
        <v>1.3</v>
      </c>
      <c r="L31" s="127">
        <v>3.2</v>
      </c>
      <c r="M31" s="127">
        <v>1.6</v>
      </c>
      <c r="N31" s="127">
        <v>2.5</v>
      </c>
      <c r="O31" s="74"/>
      <c r="P31" s="127">
        <v>-0.2</v>
      </c>
      <c r="Q31" s="127">
        <v>0.8</v>
      </c>
      <c r="R31" s="127">
        <v>1.7</v>
      </c>
      <c r="S31" s="127">
        <v>0.2</v>
      </c>
      <c r="T31" s="127">
        <v>0.2</v>
      </c>
    </row>
    <row r="32" spans="1:21" x14ac:dyDescent="0.3">
      <c r="A32" s="67" t="s">
        <v>178</v>
      </c>
      <c r="B32" s="8" t="s">
        <v>178</v>
      </c>
      <c r="C32" s="127">
        <v>13.8</v>
      </c>
      <c r="D32" s="127">
        <v>8.8000000000000007</v>
      </c>
      <c r="E32" s="127">
        <v>22.8</v>
      </c>
      <c r="F32" s="78"/>
      <c r="G32" s="127">
        <v>43.5</v>
      </c>
      <c r="H32" s="127">
        <v>2.4</v>
      </c>
      <c r="I32" s="127">
        <v>2.2999999999999998</v>
      </c>
      <c r="J32" s="127">
        <v>-0.4</v>
      </c>
      <c r="K32" s="127">
        <v>1.3</v>
      </c>
      <c r="L32" s="127">
        <v>2.9</v>
      </c>
      <c r="M32" s="127">
        <v>1.7</v>
      </c>
      <c r="N32" s="127">
        <v>2.6</v>
      </c>
      <c r="O32" s="15">
        <f t="shared" si="0"/>
        <v>3.9</v>
      </c>
      <c r="P32" s="127">
        <v>-0.2</v>
      </c>
      <c r="Q32" s="127">
        <v>-0.5</v>
      </c>
      <c r="R32" s="127">
        <v>2</v>
      </c>
      <c r="S32" s="127">
        <v>0</v>
      </c>
      <c r="T32" s="127">
        <v>0</v>
      </c>
      <c r="U32">
        <f t="shared" si="2"/>
        <v>103</v>
      </c>
    </row>
    <row r="33" spans="1:21" x14ac:dyDescent="0.3">
      <c r="A33" s="67" t="s">
        <v>179</v>
      </c>
      <c r="B33" s="8" t="s">
        <v>179</v>
      </c>
      <c r="C33" s="127">
        <v>14.6</v>
      </c>
      <c r="D33" s="127">
        <v>8</v>
      </c>
      <c r="E33" s="127">
        <v>22.2</v>
      </c>
      <c r="F33" s="78"/>
      <c r="G33" s="127">
        <v>43.8</v>
      </c>
      <c r="H33" s="127">
        <v>2.8</v>
      </c>
      <c r="I33" s="127">
        <v>3.2</v>
      </c>
      <c r="J33" s="127">
        <v>-0.3</v>
      </c>
      <c r="K33" s="127">
        <v>1.4</v>
      </c>
      <c r="L33" s="127">
        <v>3.9</v>
      </c>
      <c r="M33" s="127">
        <v>1.7</v>
      </c>
      <c r="N33" s="127">
        <v>3</v>
      </c>
      <c r="O33" s="15">
        <f t="shared" si="0"/>
        <v>1.7</v>
      </c>
      <c r="P33" s="127">
        <v>0.2</v>
      </c>
      <c r="Q33" s="127">
        <v>-3.2</v>
      </c>
      <c r="R33" s="127">
        <v>1.7</v>
      </c>
      <c r="S33" s="127">
        <v>0.1</v>
      </c>
      <c r="T33" s="127">
        <v>0.1</v>
      </c>
      <c r="U33">
        <f t="shared" si="2"/>
        <v>103.2</v>
      </c>
    </row>
    <row r="34" spans="1:21" x14ac:dyDescent="0.3">
      <c r="A34" s="67" t="s">
        <v>180</v>
      </c>
      <c r="B34" s="8" t="s">
        <v>180</v>
      </c>
      <c r="C34" s="127">
        <v>8</v>
      </c>
      <c r="D34" s="127">
        <v>12.9</v>
      </c>
      <c r="E34" s="127">
        <v>24.8</v>
      </c>
      <c r="F34" s="78"/>
      <c r="G34" s="127">
        <v>40.6</v>
      </c>
      <c r="H34" s="127">
        <v>4.5</v>
      </c>
      <c r="I34" s="127">
        <v>3.2</v>
      </c>
      <c r="J34" s="127">
        <v>-0.4</v>
      </c>
      <c r="K34" s="127">
        <v>1.1000000000000001</v>
      </c>
      <c r="L34" s="127">
        <v>3.4</v>
      </c>
      <c r="M34" s="127">
        <v>1.2</v>
      </c>
      <c r="N34" s="127">
        <v>2</v>
      </c>
      <c r="O34" s="15">
        <f t="shared" si="0"/>
        <v>3.2</v>
      </c>
      <c r="P34" s="127">
        <v>-0.3</v>
      </c>
      <c r="Q34" s="127">
        <v>0.1</v>
      </c>
      <c r="R34" s="127">
        <v>1.5</v>
      </c>
      <c r="S34" s="127">
        <v>0</v>
      </c>
      <c r="T34" s="127">
        <v>0</v>
      </c>
      <c r="U34">
        <f t="shared" si="2"/>
        <v>102.60000000000001</v>
      </c>
    </row>
    <row r="35" spans="1:21" x14ac:dyDescent="0.3">
      <c r="A35" s="67" t="s">
        <v>181</v>
      </c>
      <c r="B35" s="8" t="s">
        <v>181</v>
      </c>
      <c r="C35" s="127">
        <v>8.6</v>
      </c>
      <c r="D35" s="127">
        <v>12.5</v>
      </c>
      <c r="E35" s="127">
        <v>25.1</v>
      </c>
      <c r="F35" s="78"/>
      <c r="G35" s="127">
        <v>38.9</v>
      </c>
      <c r="H35" s="127">
        <v>4.7</v>
      </c>
      <c r="I35" s="127">
        <v>3.3</v>
      </c>
      <c r="J35" s="127">
        <v>-0.3</v>
      </c>
      <c r="K35" s="127">
        <v>1.2</v>
      </c>
      <c r="L35" s="127">
        <v>4.5</v>
      </c>
      <c r="M35" s="127">
        <v>1.2</v>
      </c>
      <c r="N35" s="127">
        <v>2.1</v>
      </c>
      <c r="O35" s="15">
        <f t="shared" si="0"/>
        <v>2.4</v>
      </c>
      <c r="P35" s="127">
        <v>-0.1</v>
      </c>
      <c r="Q35" s="127">
        <v>-1.4</v>
      </c>
      <c r="R35" s="127">
        <v>1.7</v>
      </c>
      <c r="S35" s="127">
        <v>0</v>
      </c>
      <c r="T35" s="127">
        <v>0.1</v>
      </c>
      <c r="U35">
        <f t="shared" si="2"/>
        <v>102.1</v>
      </c>
    </row>
    <row r="36" spans="1:21" x14ac:dyDescent="0.3">
      <c r="A36" s="67" t="s">
        <v>182</v>
      </c>
      <c r="B36" s="8" t="s">
        <v>182</v>
      </c>
      <c r="C36" s="127">
        <v>7.2</v>
      </c>
      <c r="D36" s="127">
        <v>16.100000000000001</v>
      </c>
      <c r="E36" s="127">
        <v>24.4</v>
      </c>
      <c r="F36" s="78"/>
      <c r="G36" s="127">
        <v>37.1</v>
      </c>
      <c r="H36" s="127">
        <v>5.8</v>
      </c>
      <c r="I36" s="127">
        <v>3.4</v>
      </c>
      <c r="J36" s="127">
        <v>-1</v>
      </c>
      <c r="K36" s="127">
        <v>1.1000000000000001</v>
      </c>
      <c r="L36" s="127">
        <v>3.9</v>
      </c>
      <c r="M36" s="127">
        <v>1.1000000000000001</v>
      </c>
      <c r="N36" s="127">
        <v>1.4</v>
      </c>
      <c r="O36" s="15">
        <f t="shared" si="0"/>
        <v>2.7</v>
      </c>
      <c r="P36" s="127">
        <v>-0.1</v>
      </c>
      <c r="Q36" s="127">
        <v>0.1</v>
      </c>
      <c r="R36" s="127">
        <v>1.4</v>
      </c>
      <c r="S36" s="127">
        <v>0</v>
      </c>
      <c r="T36" s="127">
        <v>0.1</v>
      </c>
      <c r="U36">
        <f t="shared" si="2"/>
        <v>102.00000000000001</v>
      </c>
    </row>
    <row r="37" spans="1:21" x14ac:dyDescent="0.3">
      <c r="A37" s="67" t="s">
        <v>378</v>
      </c>
      <c r="B37" s="8" t="s">
        <v>378</v>
      </c>
      <c r="C37" s="127">
        <v>14.3</v>
      </c>
      <c r="D37" s="127">
        <v>10.4</v>
      </c>
      <c r="E37" s="127">
        <v>21.8</v>
      </c>
      <c r="G37" s="127">
        <v>36.299999999999997</v>
      </c>
      <c r="H37" s="127">
        <v>3</v>
      </c>
      <c r="I37" s="127">
        <v>2.7</v>
      </c>
      <c r="J37" s="127">
        <v>-0.4</v>
      </c>
      <c r="K37" s="127">
        <v>2.8</v>
      </c>
      <c r="L37" s="127">
        <v>6.9</v>
      </c>
      <c r="M37" s="127">
        <v>1.6</v>
      </c>
      <c r="N37" s="127">
        <v>3.6</v>
      </c>
      <c r="O37" s="74">
        <f t="shared" si="0"/>
        <v>3.3</v>
      </c>
      <c r="P37" s="127">
        <v>0.6</v>
      </c>
      <c r="Q37" s="127">
        <v>-5.2</v>
      </c>
      <c r="R37" s="127">
        <v>1.7</v>
      </c>
      <c r="S37" s="127">
        <v>0</v>
      </c>
      <c r="T37" s="127">
        <v>2.2000000000000002</v>
      </c>
      <c r="U37" s="76">
        <f t="shared" si="2"/>
        <v>102.29999999999998</v>
      </c>
    </row>
    <row r="38" spans="1:21" x14ac:dyDescent="0.3">
      <c r="O38" s="15"/>
    </row>
    <row r="39" spans="1:21" x14ac:dyDescent="0.3">
      <c r="O39" s="15"/>
    </row>
    <row r="40" spans="1:21" x14ac:dyDescent="0.3">
      <c r="O40" s="15"/>
    </row>
    <row r="41" spans="1:21" x14ac:dyDescent="0.3">
      <c r="O41" s="15"/>
    </row>
    <row r="42" spans="1:21" x14ac:dyDescent="0.3">
      <c r="O42" s="15"/>
    </row>
    <row r="43" spans="1:21" x14ac:dyDescent="0.3">
      <c r="O43" s="15"/>
    </row>
    <row r="44" spans="1:21" x14ac:dyDescent="0.3">
      <c r="O44" s="15"/>
    </row>
    <row r="45" spans="1:21" x14ac:dyDescent="0.3">
      <c r="O45" s="15"/>
    </row>
    <row r="46" spans="1:21" x14ac:dyDescent="0.3">
      <c r="O46" s="15"/>
    </row>
    <row r="47" spans="1:21" x14ac:dyDescent="0.3">
      <c r="O47" s="15"/>
    </row>
    <row r="48" spans="1:21" x14ac:dyDescent="0.3">
      <c r="O48" s="15"/>
    </row>
    <row r="49" spans="15:21" x14ac:dyDescent="0.3">
      <c r="O49" s="15"/>
    </row>
    <row r="50" spans="15:21" x14ac:dyDescent="0.3">
      <c r="O50" s="15"/>
    </row>
    <row r="51" spans="15:21" x14ac:dyDescent="0.3">
      <c r="O51" s="15"/>
    </row>
    <row r="52" spans="15:21" x14ac:dyDescent="0.3">
      <c r="O52" s="15"/>
    </row>
    <row r="53" spans="15:21" x14ac:dyDescent="0.3">
      <c r="O53" s="15"/>
    </row>
    <row r="54" spans="15:21" x14ac:dyDescent="0.3">
      <c r="O54" s="15"/>
    </row>
    <row r="55" spans="15:21" x14ac:dyDescent="0.3">
      <c r="O55" s="15"/>
    </row>
    <row r="56" spans="15:21" x14ac:dyDescent="0.3">
      <c r="O56" s="15"/>
    </row>
    <row r="57" spans="15:21" x14ac:dyDescent="0.3">
      <c r="O57" s="15"/>
    </row>
    <row r="58" spans="15:21" x14ac:dyDescent="0.3">
      <c r="O58" s="15"/>
    </row>
    <row r="59" spans="15:21" x14ac:dyDescent="0.3">
      <c r="O59" s="15"/>
    </row>
    <row r="60" spans="15:21" x14ac:dyDescent="0.3">
      <c r="O60" s="15">
        <f t="shared" si="0"/>
        <v>0</v>
      </c>
      <c r="U60">
        <f t="shared" si="2"/>
        <v>0</v>
      </c>
    </row>
  </sheetData>
  <pageMargins left="0.7" right="0.7" top="0.75" bottom="0.75" header="0.3" footer="0.3"/>
  <pageSetup paperSize="9" scale="4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pageSetUpPr fitToPage="1"/>
  </sheetPr>
  <dimension ref="A1:K37"/>
  <sheetViews>
    <sheetView workbookViewId="0">
      <selection activeCell="D5" sqref="D5"/>
    </sheetView>
  </sheetViews>
  <sheetFormatPr baseColWidth="10" defaultRowHeight="14.4" x14ac:dyDescent="0.3"/>
  <cols>
    <col min="1" max="1" width="22.88671875" bestFit="1" customWidth="1"/>
    <col min="2" max="2" width="17" customWidth="1"/>
  </cols>
  <sheetData>
    <row r="1" spans="1:11" x14ac:dyDescent="0.3">
      <c r="A1" s="7">
        <v>2014</v>
      </c>
    </row>
    <row r="2" spans="1:11" s="68" customFormat="1" ht="129.6" x14ac:dyDescent="0.3">
      <c r="C2" s="17" t="s">
        <v>385</v>
      </c>
      <c r="D2" s="17" t="s">
        <v>386</v>
      </c>
      <c r="E2" s="17" t="s">
        <v>349</v>
      </c>
      <c r="F2" s="17" t="s">
        <v>350</v>
      </c>
      <c r="G2" s="17" t="s">
        <v>351</v>
      </c>
      <c r="H2" s="17" t="s">
        <v>352</v>
      </c>
      <c r="I2" s="17" t="s">
        <v>353</v>
      </c>
      <c r="J2" s="17" t="s">
        <v>354</v>
      </c>
      <c r="K2" s="17" t="s">
        <v>355</v>
      </c>
    </row>
    <row r="3" spans="1:11" x14ac:dyDescent="0.3">
      <c r="A3" s="67" t="s">
        <v>173</v>
      </c>
      <c r="B3" s="7" t="s">
        <v>174</v>
      </c>
      <c r="C3" s="153">
        <v>20</v>
      </c>
      <c r="D3" s="223">
        <v>149.31479017501837</v>
      </c>
      <c r="E3" s="78">
        <v>239788</v>
      </c>
      <c r="F3" s="78">
        <v>6.9</v>
      </c>
      <c r="G3" s="78">
        <v>50.5</v>
      </c>
      <c r="H3" s="78">
        <v>18.399999999999999</v>
      </c>
      <c r="I3" s="78">
        <v>13.4</v>
      </c>
      <c r="J3" s="78">
        <v>24.5</v>
      </c>
      <c r="K3" s="78">
        <v>1039336</v>
      </c>
    </row>
    <row r="4" spans="1:11" x14ac:dyDescent="0.3">
      <c r="A4" s="67">
        <v>1902</v>
      </c>
      <c r="B4" s="7" t="s">
        <v>10</v>
      </c>
      <c r="C4" s="78">
        <v>14</v>
      </c>
      <c r="D4" s="223">
        <v>139.09066451439332</v>
      </c>
      <c r="E4" s="78">
        <v>300211</v>
      </c>
      <c r="F4" s="78">
        <v>9.3000000000000007</v>
      </c>
      <c r="G4" s="78">
        <v>81.599999999999994</v>
      </c>
      <c r="H4" s="78">
        <v>21.1</v>
      </c>
      <c r="I4" s="78">
        <v>14.8</v>
      </c>
      <c r="J4" s="78">
        <v>25.6</v>
      </c>
      <c r="K4" s="78">
        <v>1118682</v>
      </c>
    </row>
    <row r="5" spans="1:11" s="72" customFormat="1" x14ac:dyDescent="0.3">
      <c r="A5" s="67">
        <v>1903</v>
      </c>
      <c r="B5" s="8" t="s">
        <v>6</v>
      </c>
      <c r="C5" s="78">
        <v>22</v>
      </c>
      <c r="D5" s="223">
        <v>174.44326617179215</v>
      </c>
      <c r="E5" s="78">
        <v>239844</v>
      </c>
      <c r="F5" s="78">
        <v>5</v>
      </c>
      <c r="G5" s="78">
        <v>38.299999999999997</v>
      </c>
      <c r="H5" s="78">
        <v>18.2</v>
      </c>
      <c r="I5" s="78">
        <v>13.5</v>
      </c>
      <c r="J5" s="78">
        <v>36.299999999999997</v>
      </c>
      <c r="K5" s="78">
        <v>1029915</v>
      </c>
    </row>
    <row r="6" spans="1:11" x14ac:dyDescent="0.3">
      <c r="A6" s="67">
        <v>1911</v>
      </c>
      <c r="B6" s="7" t="s">
        <v>14</v>
      </c>
      <c r="C6" s="78">
        <v>41</v>
      </c>
      <c r="D6" s="223">
        <v>215.21335807050093</v>
      </c>
      <c r="E6" s="78">
        <v>573264</v>
      </c>
      <c r="F6" s="78">
        <v>25.5</v>
      </c>
      <c r="G6" s="78">
        <v>23.4</v>
      </c>
      <c r="H6" s="78">
        <v>24.7</v>
      </c>
      <c r="I6" s="78">
        <v>18.100000000000001</v>
      </c>
      <c r="J6" s="78">
        <v>22</v>
      </c>
      <c r="K6" s="78">
        <v>1036805</v>
      </c>
    </row>
    <row r="7" spans="1:11" x14ac:dyDescent="0.3">
      <c r="A7" s="67">
        <v>1913</v>
      </c>
      <c r="B7" s="7" t="s">
        <v>18</v>
      </c>
      <c r="C7" s="78">
        <v>23</v>
      </c>
      <c r="D7" s="223">
        <v>193.22033898305085</v>
      </c>
      <c r="E7" s="78">
        <v>191429</v>
      </c>
      <c r="F7" s="79" t="s">
        <v>277</v>
      </c>
      <c r="G7" s="78">
        <v>72.400000000000006</v>
      </c>
      <c r="H7" s="78">
        <v>28.1</v>
      </c>
      <c r="I7" s="78">
        <v>21.3</v>
      </c>
      <c r="J7" s="78">
        <v>14</v>
      </c>
      <c r="K7" s="78">
        <v>914340</v>
      </c>
    </row>
    <row r="8" spans="1:11" x14ac:dyDescent="0.3">
      <c r="A8" s="67">
        <v>1917</v>
      </c>
      <c r="B8" s="7" t="s">
        <v>21</v>
      </c>
      <c r="C8" s="78">
        <v>34</v>
      </c>
      <c r="D8" s="223">
        <v>207.08446866485014</v>
      </c>
      <c r="E8" s="78">
        <v>119694</v>
      </c>
      <c r="F8" s="79" t="s">
        <v>277</v>
      </c>
      <c r="G8" s="78">
        <v>250</v>
      </c>
      <c r="H8" s="78">
        <v>24.2</v>
      </c>
      <c r="I8" s="78">
        <v>18.2</v>
      </c>
      <c r="J8" s="78">
        <v>0</v>
      </c>
      <c r="K8" s="78">
        <v>1191375</v>
      </c>
    </row>
    <row r="9" spans="1:11" x14ac:dyDescent="0.3">
      <c r="A9" s="67">
        <v>1919</v>
      </c>
      <c r="B9" s="7" t="s">
        <v>24</v>
      </c>
      <c r="C9" s="78">
        <v>24</v>
      </c>
      <c r="D9" s="223">
        <v>215.90909090909091</v>
      </c>
      <c r="E9" s="78">
        <v>217321</v>
      </c>
      <c r="F9" s="78">
        <v>6.4</v>
      </c>
      <c r="G9" s="79" t="s">
        <v>277</v>
      </c>
      <c r="H9" s="78">
        <v>24.2</v>
      </c>
      <c r="I9" s="78">
        <v>16.8</v>
      </c>
      <c r="J9" s="78">
        <v>0</v>
      </c>
      <c r="K9" s="78">
        <v>862130</v>
      </c>
    </row>
    <row r="10" spans="1:11" x14ac:dyDescent="0.3">
      <c r="A10" s="67">
        <v>1920</v>
      </c>
      <c r="B10" s="7" t="s">
        <v>27</v>
      </c>
      <c r="C10" s="78">
        <v>21</v>
      </c>
      <c r="D10" s="223">
        <v>168.22429906542055</v>
      </c>
      <c r="E10" s="78">
        <v>191491</v>
      </c>
      <c r="F10" s="79" t="s">
        <v>277</v>
      </c>
      <c r="G10" s="78">
        <v>0</v>
      </c>
      <c r="H10" s="78">
        <v>22.1</v>
      </c>
      <c r="I10" s="78">
        <v>17.600000000000001</v>
      </c>
      <c r="J10" s="78">
        <v>40</v>
      </c>
      <c r="K10" s="78">
        <v>1088733</v>
      </c>
    </row>
    <row r="11" spans="1:11" x14ac:dyDescent="0.3">
      <c r="A11" s="67">
        <v>1922</v>
      </c>
      <c r="B11" s="7" t="s">
        <v>30</v>
      </c>
      <c r="C11" s="78">
        <v>19</v>
      </c>
      <c r="D11" s="223">
        <v>160.12558869701726</v>
      </c>
      <c r="E11" s="78">
        <v>158583</v>
      </c>
      <c r="F11" s="78">
        <v>3</v>
      </c>
      <c r="G11" s="78">
        <v>46.2</v>
      </c>
      <c r="H11" s="78">
        <v>18.5</v>
      </c>
      <c r="I11" s="78">
        <v>18.5</v>
      </c>
      <c r="J11" s="78">
        <v>27.8</v>
      </c>
      <c r="K11" s="78">
        <v>1380472</v>
      </c>
    </row>
    <row r="12" spans="1:11" x14ac:dyDescent="0.3">
      <c r="A12" s="67">
        <v>1923</v>
      </c>
      <c r="B12" s="7" t="s">
        <v>34</v>
      </c>
      <c r="C12" s="78">
        <v>23</v>
      </c>
      <c r="D12" s="223">
        <v>143.21608040201005</v>
      </c>
      <c r="E12" s="78">
        <v>336343</v>
      </c>
      <c r="F12" s="78">
        <v>7.1</v>
      </c>
      <c r="G12" s="78">
        <v>10</v>
      </c>
      <c r="H12" s="78">
        <v>30.8</v>
      </c>
      <c r="I12" s="78">
        <v>14.3</v>
      </c>
      <c r="J12" s="78">
        <v>35.700000000000003</v>
      </c>
      <c r="K12" s="78">
        <v>850179</v>
      </c>
    </row>
    <row r="13" spans="1:11" x14ac:dyDescent="0.3">
      <c r="A13" s="67">
        <v>1924</v>
      </c>
      <c r="B13" s="7" t="s">
        <v>36</v>
      </c>
      <c r="C13" s="78">
        <v>25</v>
      </c>
      <c r="D13" s="223">
        <v>181.29770992366412</v>
      </c>
      <c r="E13" s="78">
        <v>178820</v>
      </c>
      <c r="F13" s="78">
        <v>6.6</v>
      </c>
      <c r="G13" s="79" t="s">
        <v>277</v>
      </c>
      <c r="H13" s="78">
        <v>18.899999999999999</v>
      </c>
      <c r="I13" s="78">
        <v>14.8</v>
      </c>
      <c r="J13" s="78">
        <v>12.5</v>
      </c>
      <c r="K13" s="78">
        <v>1186922</v>
      </c>
    </row>
    <row r="14" spans="1:11" x14ac:dyDescent="0.3">
      <c r="A14" s="67">
        <v>1925</v>
      </c>
      <c r="B14" s="7" t="s">
        <v>39</v>
      </c>
      <c r="C14" s="78">
        <v>16</v>
      </c>
      <c r="D14" s="223">
        <v>127.73722627737227</v>
      </c>
      <c r="E14" s="78">
        <v>319154</v>
      </c>
      <c r="F14" s="78">
        <v>6.8</v>
      </c>
      <c r="G14" s="78">
        <v>34.5</v>
      </c>
      <c r="H14" s="78">
        <v>19.2</v>
      </c>
      <c r="I14" s="78">
        <v>11.9</v>
      </c>
      <c r="J14" s="78">
        <v>59.3</v>
      </c>
      <c r="K14" s="78">
        <v>1305690</v>
      </c>
    </row>
    <row r="15" spans="1:11" x14ac:dyDescent="0.3">
      <c r="A15" s="67">
        <v>1926</v>
      </c>
      <c r="B15" s="7" t="s">
        <v>42</v>
      </c>
      <c r="C15" s="78">
        <v>37</v>
      </c>
      <c r="D15" s="223">
        <v>176.47058823529412</v>
      </c>
      <c r="E15" s="78">
        <v>240205</v>
      </c>
      <c r="F15" s="78">
        <v>14.1</v>
      </c>
      <c r="G15" s="78">
        <v>43.5</v>
      </c>
      <c r="H15" s="78">
        <v>32.700000000000003</v>
      </c>
      <c r="I15" s="78">
        <v>19.2</v>
      </c>
      <c r="J15" s="78">
        <v>32</v>
      </c>
      <c r="K15" s="78">
        <v>959240</v>
      </c>
    </row>
    <row r="16" spans="1:11" x14ac:dyDescent="0.3">
      <c r="A16" s="67">
        <v>1927</v>
      </c>
      <c r="B16" s="7" t="s">
        <v>45</v>
      </c>
      <c r="C16" s="78">
        <v>23</v>
      </c>
      <c r="D16" s="223">
        <v>212.88515406162463</v>
      </c>
      <c r="E16" s="78">
        <v>229019</v>
      </c>
      <c r="F16" s="78">
        <v>4.9000000000000004</v>
      </c>
      <c r="G16" s="78">
        <v>63.6</v>
      </c>
      <c r="H16" s="78">
        <v>22.6</v>
      </c>
      <c r="I16" s="78">
        <v>17.100000000000001</v>
      </c>
      <c r="J16" s="78">
        <v>26.9</v>
      </c>
      <c r="K16" s="78">
        <v>999885</v>
      </c>
    </row>
    <row r="17" spans="1:11" x14ac:dyDescent="0.3">
      <c r="A17" s="67">
        <v>1928</v>
      </c>
      <c r="B17" s="7" t="s">
        <v>49</v>
      </c>
      <c r="C17" s="78">
        <v>27</v>
      </c>
      <c r="D17" s="223">
        <v>140.09661835748793</v>
      </c>
      <c r="E17" s="78">
        <v>125191</v>
      </c>
      <c r="F17" s="79" t="s">
        <v>277</v>
      </c>
      <c r="G17" s="79" t="s">
        <v>277</v>
      </c>
      <c r="H17" s="78">
        <v>49.2</v>
      </c>
      <c r="I17" s="78">
        <v>26.6</v>
      </c>
      <c r="J17" s="78">
        <v>0</v>
      </c>
      <c r="K17" s="78">
        <v>858903</v>
      </c>
    </row>
    <row r="18" spans="1:11" x14ac:dyDescent="0.3">
      <c r="A18" s="67">
        <v>1929</v>
      </c>
      <c r="B18" s="7" t="s">
        <v>53</v>
      </c>
      <c r="C18" s="78">
        <v>15</v>
      </c>
      <c r="D18" s="223">
        <v>153.84615384615387</v>
      </c>
      <c r="E18" s="78">
        <v>249718</v>
      </c>
      <c r="F18" s="79" t="s">
        <v>277</v>
      </c>
      <c r="G18" s="78">
        <v>0</v>
      </c>
      <c r="H18" s="78">
        <v>37.299999999999997</v>
      </c>
      <c r="I18" s="78">
        <v>23.6</v>
      </c>
      <c r="J18" s="78">
        <v>40</v>
      </c>
      <c r="K18" s="78">
        <v>742200</v>
      </c>
    </row>
    <row r="19" spans="1:11" x14ac:dyDescent="0.3">
      <c r="A19" s="67">
        <v>1931</v>
      </c>
      <c r="B19" s="7" t="s">
        <v>56</v>
      </c>
      <c r="C19" s="78">
        <v>25</v>
      </c>
      <c r="D19" s="223">
        <v>143.75356531660012</v>
      </c>
      <c r="E19" s="78">
        <v>216636</v>
      </c>
      <c r="F19" s="78">
        <v>9.9</v>
      </c>
      <c r="G19" s="78">
        <v>49.6</v>
      </c>
      <c r="H19" s="78">
        <v>22.9</v>
      </c>
      <c r="I19" s="78">
        <v>18.100000000000001</v>
      </c>
      <c r="J19" s="78">
        <v>14.5</v>
      </c>
      <c r="K19" s="78">
        <v>1023969</v>
      </c>
    </row>
    <row r="20" spans="1:11" x14ac:dyDescent="0.3">
      <c r="A20" s="67">
        <v>1933</v>
      </c>
      <c r="B20" s="7" t="s">
        <v>60</v>
      </c>
      <c r="C20" s="78">
        <v>30</v>
      </c>
      <c r="D20" s="223">
        <v>170.71057192374352</v>
      </c>
      <c r="E20" s="78">
        <v>212931</v>
      </c>
      <c r="F20" s="78">
        <v>6.6</v>
      </c>
      <c r="G20" s="78">
        <v>65.599999999999994</v>
      </c>
      <c r="H20" s="78">
        <v>24.3</v>
      </c>
      <c r="I20" s="78">
        <v>18.7</v>
      </c>
      <c r="J20" s="78">
        <v>26.8</v>
      </c>
      <c r="K20" s="78">
        <v>963915</v>
      </c>
    </row>
    <row r="21" spans="1:11" x14ac:dyDescent="0.3">
      <c r="A21" s="67">
        <v>1936</v>
      </c>
      <c r="B21" s="7" t="s">
        <v>62</v>
      </c>
      <c r="C21" s="78">
        <v>33</v>
      </c>
      <c r="D21" s="223">
        <v>217.47967479674796</v>
      </c>
      <c r="E21" s="78">
        <v>189497</v>
      </c>
      <c r="F21" s="78">
        <v>4.8</v>
      </c>
      <c r="G21" s="78">
        <v>77.5</v>
      </c>
      <c r="H21" s="78">
        <v>18.600000000000001</v>
      </c>
      <c r="I21" s="78">
        <v>13.6</v>
      </c>
      <c r="J21" s="78">
        <v>46.2</v>
      </c>
      <c r="K21" s="78">
        <v>1406385</v>
      </c>
    </row>
    <row r="22" spans="1:11" x14ac:dyDescent="0.3">
      <c r="A22" s="67">
        <v>1938</v>
      </c>
      <c r="B22" s="7" t="s">
        <v>66</v>
      </c>
      <c r="C22" s="78">
        <v>40</v>
      </c>
      <c r="D22" s="223">
        <v>174.60317460317458</v>
      </c>
      <c r="E22" s="78">
        <v>259356</v>
      </c>
      <c r="F22" s="78">
        <v>7.9</v>
      </c>
      <c r="G22" s="79" t="s">
        <v>277</v>
      </c>
      <c r="H22" s="78">
        <v>12.2</v>
      </c>
      <c r="I22" s="78">
        <v>12.8</v>
      </c>
      <c r="J22" s="78">
        <v>66.7</v>
      </c>
      <c r="K22" s="78">
        <v>992923</v>
      </c>
    </row>
    <row r="23" spans="1:11" x14ac:dyDescent="0.3">
      <c r="A23" s="67">
        <v>1939</v>
      </c>
      <c r="B23" s="7" t="s">
        <v>70</v>
      </c>
      <c r="C23" s="78">
        <v>28</v>
      </c>
      <c r="D23" s="223">
        <v>123.7785016286645</v>
      </c>
      <c r="E23" s="78">
        <v>296829</v>
      </c>
      <c r="F23" s="78">
        <v>11</v>
      </c>
      <c r="G23" s="79" t="s">
        <v>277</v>
      </c>
      <c r="H23" s="78">
        <v>23.9</v>
      </c>
      <c r="I23" s="78">
        <v>19.7</v>
      </c>
      <c r="J23" s="78">
        <v>35.299999999999997</v>
      </c>
      <c r="K23" s="78">
        <v>886591</v>
      </c>
    </row>
    <row r="24" spans="1:11" x14ac:dyDescent="0.3">
      <c r="A24" s="67">
        <v>1940</v>
      </c>
      <c r="B24" s="7" t="s">
        <v>95</v>
      </c>
      <c r="C24" s="78">
        <v>44</v>
      </c>
      <c r="D24" s="223">
        <v>192.30769230769232</v>
      </c>
      <c r="E24" s="78">
        <v>173542</v>
      </c>
      <c r="F24" s="78">
        <v>6.6</v>
      </c>
      <c r="G24" s="79" t="s">
        <v>277</v>
      </c>
      <c r="H24" s="78">
        <v>23.4</v>
      </c>
      <c r="I24" s="78">
        <v>14.1</v>
      </c>
      <c r="J24" s="78">
        <v>23.3</v>
      </c>
      <c r="K24" s="78">
        <v>1181033</v>
      </c>
    </row>
    <row r="25" spans="1:11" x14ac:dyDescent="0.3">
      <c r="A25" s="67">
        <v>1941</v>
      </c>
      <c r="B25" s="7" t="s">
        <v>77</v>
      </c>
      <c r="C25" s="78">
        <v>28</v>
      </c>
      <c r="D25" s="223">
        <v>235.07462686567166</v>
      </c>
      <c r="E25" s="78">
        <v>205058</v>
      </c>
      <c r="F25" s="78">
        <v>8.9</v>
      </c>
      <c r="G25" s="78">
        <v>22.2</v>
      </c>
      <c r="H25" s="78">
        <v>24.1</v>
      </c>
      <c r="I25" s="78">
        <v>14.6</v>
      </c>
      <c r="J25" s="78">
        <v>27.3</v>
      </c>
      <c r="K25" s="78">
        <v>974444</v>
      </c>
    </row>
    <row r="26" spans="1:11" x14ac:dyDescent="0.3">
      <c r="A26" s="67">
        <v>1942</v>
      </c>
      <c r="B26" s="7" t="s">
        <v>81</v>
      </c>
      <c r="C26" s="78">
        <v>20</v>
      </c>
      <c r="D26" s="223">
        <v>158.34348355663823</v>
      </c>
      <c r="E26" s="78">
        <v>270967</v>
      </c>
      <c r="F26" s="78">
        <v>10</v>
      </c>
      <c r="G26" s="78">
        <v>38.200000000000003</v>
      </c>
      <c r="H26" s="78">
        <v>26.2</v>
      </c>
      <c r="I26" s="78">
        <v>18.3</v>
      </c>
      <c r="J26" s="78">
        <v>38.1</v>
      </c>
      <c r="K26" s="78">
        <v>894769</v>
      </c>
    </row>
    <row r="27" spans="1:11" x14ac:dyDescent="0.3">
      <c r="A27" s="67">
        <v>1943</v>
      </c>
      <c r="B27" s="7" t="s">
        <v>84</v>
      </c>
      <c r="C27" s="78">
        <v>35</v>
      </c>
      <c r="D27" s="223">
        <v>205.03597122302159</v>
      </c>
      <c r="E27" s="78">
        <v>252022</v>
      </c>
      <c r="F27" s="78">
        <v>7.8</v>
      </c>
      <c r="G27" s="78">
        <v>23.8</v>
      </c>
      <c r="H27" s="78">
        <v>37</v>
      </c>
      <c r="I27" s="78">
        <v>19.2</v>
      </c>
      <c r="J27" s="78">
        <v>22.2</v>
      </c>
      <c r="K27" s="78">
        <v>1084926</v>
      </c>
    </row>
    <row r="28" spans="1:11" x14ac:dyDescent="0.3">
      <c r="A28" s="67" t="s">
        <v>175</v>
      </c>
      <c r="B28" s="8" t="s">
        <v>88</v>
      </c>
      <c r="C28" s="78">
        <v>20</v>
      </c>
      <c r="D28" s="223">
        <v>163.21878628876178</v>
      </c>
      <c r="E28" s="78">
        <v>257132</v>
      </c>
      <c r="F28" s="78">
        <v>8</v>
      </c>
      <c r="G28" s="78">
        <v>59.8</v>
      </c>
      <c r="H28" s="78">
        <v>22</v>
      </c>
      <c r="I28" s="78">
        <v>15.9</v>
      </c>
      <c r="J28" s="78">
        <v>26.5</v>
      </c>
      <c r="K28" s="78">
        <v>1057287</v>
      </c>
    </row>
    <row r="29" spans="1:11" x14ac:dyDescent="0.3">
      <c r="A29" s="67" t="s">
        <v>176</v>
      </c>
      <c r="B29" s="7"/>
      <c r="C29" s="78">
        <v>25</v>
      </c>
      <c r="D29" s="223">
        <v>178.40925317720976</v>
      </c>
      <c r="E29" s="78">
        <v>222042</v>
      </c>
      <c r="F29" s="78">
        <v>5.6</v>
      </c>
      <c r="G29" s="78">
        <v>39.5</v>
      </c>
      <c r="H29" s="78">
        <v>19.3</v>
      </c>
      <c r="I29" s="78">
        <v>14.3</v>
      </c>
      <c r="J29" s="78">
        <v>27.2</v>
      </c>
      <c r="K29" s="78">
        <v>989189</v>
      </c>
    </row>
    <row r="30" spans="1:11" x14ac:dyDescent="0.3">
      <c r="A30" s="67" t="s">
        <v>177</v>
      </c>
      <c r="B30" s="7"/>
      <c r="C30" s="78">
        <v>23</v>
      </c>
      <c r="D30" s="223">
        <v>185.70390113884179</v>
      </c>
      <c r="E30" s="78">
        <v>224693</v>
      </c>
      <c r="F30" s="78">
        <v>6.3</v>
      </c>
      <c r="G30" s="78">
        <v>53.7</v>
      </c>
      <c r="H30" s="78">
        <v>21.2</v>
      </c>
      <c r="I30" s="78">
        <v>15.8</v>
      </c>
      <c r="J30" s="78">
        <v>27.3</v>
      </c>
      <c r="K30" s="78">
        <v>1057232</v>
      </c>
    </row>
    <row r="31" spans="1:11" s="76" customFormat="1" x14ac:dyDescent="0.3">
      <c r="A31" s="67" t="s">
        <v>377</v>
      </c>
      <c r="B31" s="73"/>
      <c r="C31" s="78">
        <v>24</v>
      </c>
      <c r="D31" s="223">
        <v>172.26666666666668</v>
      </c>
      <c r="E31" s="78">
        <v>235041</v>
      </c>
      <c r="F31" s="78">
        <v>8.9</v>
      </c>
      <c r="G31" s="78">
        <v>54.8</v>
      </c>
      <c r="H31" s="78">
        <v>26.8</v>
      </c>
      <c r="I31" s="78">
        <v>19.600000000000001</v>
      </c>
      <c r="J31" s="78">
        <v>16.2</v>
      </c>
      <c r="K31" s="78">
        <v>924696</v>
      </c>
    </row>
    <row r="32" spans="1:11" x14ac:dyDescent="0.3">
      <c r="A32" s="67" t="s">
        <v>178</v>
      </c>
      <c r="B32" s="7"/>
      <c r="C32" s="78">
        <v>23</v>
      </c>
      <c r="D32" s="223">
        <v>179.42050520059436</v>
      </c>
      <c r="E32" s="78">
        <v>224157</v>
      </c>
      <c r="F32" s="78">
        <v>5.2</v>
      </c>
      <c r="G32" s="78">
        <v>45.4</v>
      </c>
      <c r="H32" s="78">
        <v>26.7</v>
      </c>
      <c r="I32" s="78">
        <v>18.100000000000001</v>
      </c>
      <c r="J32" s="78">
        <v>24.3</v>
      </c>
      <c r="K32" s="78">
        <v>964740</v>
      </c>
    </row>
    <row r="33" spans="1:11" x14ac:dyDescent="0.3">
      <c r="A33" s="67" t="s">
        <v>179</v>
      </c>
      <c r="B33" s="7"/>
      <c r="C33" s="78">
        <v>30</v>
      </c>
      <c r="D33" s="223">
        <v>198.90015238852448</v>
      </c>
      <c r="E33" s="78">
        <v>225929</v>
      </c>
      <c r="F33" s="78">
        <v>6.8</v>
      </c>
      <c r="G33" s="78">
        <v>57.7</v>
      </c>
      <c r="H33" s="78">
        <v>25.4</v>
      </c>
      <c r="I33" s="78">
        <v>17.5</v>
      </c>
      <c r="J33" s="78">
        <v>22.7</v>
      </c>
      <c r="K33" s="78">
        <v>1070001</v>
      </c>
    </row>
    <row r="34" spans="1:11" x14ac:dyDescent="0.3">
      <c r="A34" s="67" t="s">
        <v>180</v>
      </c>
      <c r="B34" s="7"/>
      <c r="C34" s="78">
        <v>25</v>
      </c>
      <c r="D34" s="223">
        <v>169.17390183099803</v>
      </c>
      <c r="E34" s="78">
        <v>244988</v>
      </c>
      <c r="F34" s="78">
        <v>6.6</v>
      </c>
      <c r="G34" s="78">
        <v>52</v>
      </c>
      <c r="H34" s="78">
        <v>17.8</v>
      </c>
      <c r="I34" s="78">
        <v>13</v>
      </c>
      <c r="J34" s="78">
        <v>29</v>
      </c>
      <c r="K34" s="78">
        <v>995840</v>
      </c>
    </row>
    <row r="35" spans="1:11" x14ac:dyDescent="0.3">
      <c r="A35" s="67" t="s">
        <v>181</v>
      </c>
      <c r="B35" s="7"/>
      <c r="C35" s="78">
        <v>23</v>
      </c>
      <c r="D35" s="223">
        <v>163.95737730419228</v>
      </c>
      <c r="E35" s="78">
        <v>251913</v>
      </c>
      <c r="F35" s="78">
        <v>7.9</v>
      </c>
      <c r="G35" s="78">
        <v>55.1</v>
      </c>
      <c r="H35" s="78">
        <v>19.2</v>
      </c>
      <c r="I35" s="78">
        <v>14.8</v>
      </c>
      <c r="J35" s="78">
        <v>21</v>
      </c>
      <c r="K35" s="78">
        <v>1107003</v>
      </c>
    </row>
    <row r="36" spans="1:11" x14ac:dyDescent="0.3">
      <c r="A36" s="67" t="s">
        <v>182</v>
      </c>
      <c r="B36" s="7"/>
      <c r="C36" s="78">
        <v>19</v>
      </c>
      <c r="D36" s="223">
        <v>137.5426967432108</v>
      </c>
      <c r="E36" s="78">
        <v>237173</v>
      </c>
      <c r="F36" s="78">
        <v>6.9</v>
      </c>
      <c r="G36" s="78">
        <v>50.6</v>
      </c>
      <c r="H36" s="78">
        <v>16.899999999999999</v>
      </c>
      <c r="I36" s="78">
        <v>12.2</v>
      </c>
      <c r="J36" s="78">
        <v>25.1</v>
      </c>
      <c r="K36" s="78">
        <v>1049146</v>
      </c>
    </row>
    <row r="37" spans="1:11" x14ac:dyDescent="0.3">
      <c r="A37" s="67" t="s">
        <v>378</v>
      </c>
      <c r="C37" s="78">
        <v>21</v>
      </c>
      <c r="D37" s="223">
        <v>190.85281980742781</v>
      </c>
      <c r="E37" s="78">
        <v>225754</v>
      </c>
      <c r="F37" s="78">
        <v>5.3</v>
      </c>
      <c r="G37" s="78">
        <v>43.6</v>
      </c>
      <c r="H37" s="78">
        <v>28.8</v>
      </c>
      <c r="I37" s="78">
        <v>15.5</v>
      </c>
      <c r="J37" s="78">
        <v>20.3</v>
      </c>
      <c r="K37" s="78">
        <v>1157548</v>
      </c>
    </row>
  </sheetData>
  <pageMargins left="0.7" right="0.7" top="0.75" bottom="0.75" header="0.3" footer="0.3"/>
  <pageSetup paperSize="9" scale="73"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8">
    <pageSetUpPr fitToPage="1"/>
  </sheetPr>
  <dimension ref="A2:F38"/>
  <sheetViews>
    <sheetView workbookViewId="0">
      <selection activeCell="D3" sqref="D3"/>
    </sheetView>
  </sheetViews>
  <sheetFormatPr baseColWidth="10" defaultRowHeight="14.4" x14ac:dyDescent="0.3"/>
  <cols>
    <col min="1" max="1" width="22.88671875" bestFit="1" customWidth="1"/>
    <col min="2" max="2" width="15.44140625" customWidth="1"/>
    <col min="3" max="3" width="27" customWidth="1"/>
    <col min="4" max="4" width="32.109375" customWidth="1"/>
    <col min="5" max="5" width="18.88671875" customWidth="1"/>
    <col min="6" max="6" width="22.44140625" customWidth="1"/>
  </cols>
  <sheetData>
    <row r="2" spans="1:6" x14ac:dyDescent="0.3">
      <c r="B2">
        <v>2014</v>
      </c>
      <c r="C2" s="8" t="s">
        <v>264</v>
      </c>
      <c r="D2" t="s">
        <v>264</v>
      </c>
      <c r="E2" t="s">
        <v>278</v>
      </c>
    </row>
    <row r="3" spans="1:6" s="68" customFormat="1" ht="72" x14ac:dyDescent="0.3">
      <c r="C3" s="17" t="s">
        <v>359</v>
      </c>
      <c r="D3" s="17" t="s">
        <v>469</v>
      </c>
      <c r="E3" s="17" t="s">
        <v>360</v>
      </c>
      <c r="F3" s="17" t="s">
        <v>361</v>
      </c>
    </row>
    <row r="4" spans="1:6" x14ac:dyDescent="0.3">
      <c r="A4" s="67" t="s">
        <v>173</v>
      </c>
      <c r="B4" s="7" t="s">
        <v>174</v>
      </c>
      <c r="C4" s="15">
        <v>3.9</v>
      </c>
      <c r="D4" s="158">
        <v>40312</v>
      </c>
      <c r="E4" s="80">
        <v>33.799999999999997</v>
      </c>
      <c r="F4" s="15">
        <v>45.5</v>
      </c>
    </row>
    <row r="5" spans="1:6" x14ac:dyDescent="0.3">
      <c r="A5" s="67">
        <v>1902</v>
      </c>
      <c r="B5" s="7" t="s">
        <v>10</v>
      </c>
      <c r="C5" s="78">
        <v>3.2</v>
      </c>
      <c r="D5" s="117">
        <v>40808</v>
      </c>
      <c r="E5" s="156">
        <v>28.47394540942928</v>
      </c>
      <c r="F5" s="78">
        <v>48.5</v>
      </c>
    </row>
    <row r="6" spans="1:6" s="72" customFormat="1" x14ac:dyDescent="0.3">
      <c r="A6" s="67">
        <v>1903</v>
      </c>
      <c r="B6" s="8" t="s">
        <v>6</v>
      </c>
      <c r="C6" s="78">
        <v>4.4000000000000004</v>
      </c>
      <c r="D6" s="117">
        <v>20016</v>
      </c>
      <c r="E6" s="156">
        <v>36.246418338108882</v>
      </c>
      <c r="F6" s="78">
        <v>54.7</v>
      </c>
    </row>
    <row r="7" spans="1:6" x14ac:dyDescent="0.3">
      <c r="A7" s="67">
        <v>1911</v>
      </c>
      <c r="B7" s="7" t="s">
        <v>14</v>
      </c>
      <c r="C7" s="78">
        <v>5.5</v>
      </c>
      <c r="D7" s="117">
        <v>19255</v>
      </c>
      <c r="E7" s="156">
        <v>25.471698113207548</v>
      </c>
      <c r="F7" s="78">
        <v>43.4</v>
      </c>
    </row>
    <row r="8" spans="1:6" x14ac:dyDescent="0.3">
      <c r="A8" s="67">
        <v>1913</v>
      </c>
      <c r="B8" s="7" t="s">
        <v>18</v>
      </c>
      <c r="C8" s="78">
        <v>4.2</v>
      </c>
      <c r="D8" s="117">
        <v>20183</v>
      </c>
      <c r="E8" s="156">
        <v>13.414634146341465</v>
      </c>
      <c r="F8" s="78">
        <v>54.9</v>
      </c>
    </row>
    <row r="9" spans="1:6" x14ac:dyDescent="0.3">
      <c r="A9" s="67">
        <v>1917</v>
      </c>
      <c r="B9" s="7" t="s">
        <v>21</v>
      </c>
      <c r="C9" s="78">
        <v>3.8</v>
      </c>
      <c r="D9" s="117">
        <v>24484</v>
      </c>
      <c r="E9" s="156">
        <v>12.903225806451612</v>
      </c>
      <c r="F9" s="78">
        <v>22.6</v>
      </c>
    </row>
    <row r="10" spans="1:6" x14ac:dyDescent="0.3">
      <c r="A10" s="67">
        <v>1919</v>
      </c>
      <c r="B10" s="7" t="s">
        <v>24</v>
      </c>
      <c r="C10" s="78">
        <v>7.2</v>
      </c>
      <c r="D10" s="117">
        <v>67224</v>
      </c>
      <c r="E10" s="156">
        <v>14.285714285714285</v>
      </c>
      <c r="F10" s="78">
        <v>36.700000000000003</v>
      </c>
    </row>
    <row r="11" spans="1:6" x14ac:dyDescent="0.3">
      <c r="A11" s="67">
        <v>1920</v>
      </c>
      <c r="B11" s="7" t="s">
        <v>27</v>
      </c>
      <c r="C11" s="78">
        <v>5.7</v>
      </c>
      <c r="D11" s="117">
        <v>59576</v>
      </c>
      <c r="E11" s="156">
        <v>15.151515151515152</v>
      </c>
      <c r="F11" s="78">
        <v>33.299999999999997</v>
      </c>
    </row>
    <row r="12" spans="1:6" x14ac:dyDescent="0.3">
      <c r="A12" s="67">
        <v>1922</v>
      </c>
      <c r="B12" s="7" t="s">
        <v>30</v>
      </c>
      <c r="C12" s="78">
        <v>1.8</v>
      </c>
      <c r="D12" s="117">
        <v>66404</v>
      </c>
      <c r="E12" s="156">
        <v>36.538461538461533</v>
      </c>
      <c r="F12" s="78">
        <v>51.9</v>
      </c>
    </row>
    <row r="13" spans="1:6" x14ac:dyDescent="0.3">
      <c r="A13" s="67">
        <v>1923</v>
      </c>
      <c r="B13" s="7" t="s">
        <v>34</v>
      </c>
      <c r="C13" s="78">
        <v>5.7</v>
      </c>
      <c r="D13" s="117">
        <v>35066</v>
      </c>
      <c r="E13" s="156">
        <v>19.736842105263158</v>
      </c>
      <c r="F13" s="78">
        <v>44.7</v>
      </c>
    </row>
    <row r="14" spans="1:6" x14ac:dyDescent="0.3">
      <c r="A14" s="67">
        <v>1924</v>
      </c>
      <c r="B14" s="7" t="s">
        <v>36</v>
      </c>
      <c r="C14" s="78">
        <v>2.1</v>
      </c>
      <c r="D14" s="117">
        <v>54576</v>
      </c>
      <c r="E14" s="156">
        <v>10.869565217391305</v>
      </c>
      <c r="F14" s="78">
        <v>54.3</v>
      </c>
    </row>
    <row r="15" spans="1:6" x14ac:dyDescent="0.3">
      <c r="A15" s="67">
        <v>1925</v>
      </c>
      <c r="B15" s="7" t="s">
        <v>39</v>
      </c>
      <c r="C15" s="78">
        <v>3.5</v>
      </c>
      <c r="D15" s="117">
        <v>19040</v>
      </c>
      <c r="E15" s="156">
        <v>28.000000000000004</v>
      </c>
      <c r="F15" s="78">
        <v>46.7</v>
      </c>
    </row>
    <row r="16" spans="1:6" x14ac:dyDescent="0.3">
      <c r="A16" s="67">
        <v>1926</v>
      </c>
      <c r="B16" s="7" t="s">
        <v>42</v>
      </c>
      <c r="C16" s="78">
        <v>3.8</v>
      </c>
      <c r="D16" s="117">
        <v>24885</v>
      </c>
      <c r="E16" s="156">
        <v>23.076923076923077</v>
      </c>
      <c r="F16" s="78">
        <v>46.2</v>
      </c>
    </row>
    <row r="17" spans="1:6" x14ac:dyDescent="0.3">
      <c r="A17" s="67">
        <v>1927</v>
      </c>
      <c r="B17" s="7" t="s">
        <v>45</v>
      </c>
      <c r="C17" s="78">
        <v>6.4</v>
      </c>
      <c r="D17" s="117">
        <v>12696</v>
      </c>
      <c r="E17" s="156">
        <v>21.428571428571427</v>
      </c>
      <c r="F17" s="78">
        <v>64.3</v>
      </c>
    </row>
    <row r="18" spans="1:6" x14ac:dyDescent="0.3">
      <c r="A18" s="67">
        <v>1928</v>
      </c>
      <c r="B18" s="7" t="s">
        <v>49</v>
      </c>
      <c r="C18" s="78">
        <v>3.9</v>
      </c>
      <c r="D18" s="117">
        <v>53591</v>
      </c>
      <c r="E18" s="156">
        <v>0</v>
      </c>
      <c r="F18" s="78">
        <v>40.9</v>
      </c>
    </row>
    <row r="19" spans="1:6" x14ac:dyDescent="0.3">
      <c r="A19" s="67">
        <v>1929</v>
      </c>
      <c r="B19" s="7" t="s">
        <v>53</v>
      </c>
      <c r="C19" s="78">
        <v>6.9</v>
      </c>
      <c r="D19" s="117">
        <v>46026</v>
      </c>
      <c r="E19" s="156">
        <v>15.384615384615385</v>
      </c>
      <c r="F19" s="78">
        <v>61.5</v>
      </c>
    </row>
    <row r="20" spans="1:6" x14ac:dyDescent="0.3">
      <c r="A20" s="67">
        <v>1931</v>
      </c>
      <c r="B20" s="7" t="s">
        <v>56</v>
      </c>
      <c r="C20" s="78">
        <v>2.7</v>
      </c>
      <c r="D20" s="117">
        <v>39195</v>
      </c>
      <c r="E20" s="156">
        <v>30.5</v>
      </c>
      <c r="F20" s="78">
        <v>46.5</v>
      </c>
    </row>
    <row r="21" spans="1:6" x14ac:dyDescent="0.3">
      <c r="A21" s="67">
        <v>1933</v>
      </c>
      <c r="B21" s="7" t="s">
        <v>60</v>
      </c>
      <c r="C21" s="78">
        <v>3.2</v>
      </c>
      <c r="D21" s="117">
        <v>44908</v>
      </c>
      <c r="E21" s="156">
        <v>14.678899082568808</v>
      </c>
      <c r="F21" s="78">
        <v>31.2</v>
      </c>
    </row>
    <row r="22" spans="1:6" x14ac:dyDescent="0.3">
      <c r="A22" s="67">
        <v>1936</v>
      </c>
      <c r="B22" s="7" t="s">
        <v>62</v>
      </c>
      <c r="C22" s="78">
        <v>6.1</v>
      </c>
      <c r="D22" s="117">
        <v>18398</v>
      </c>
      <c r="E22" s="156">
        <v>18.181818181818183</v>
      </c>
      <c r="F22" s="78">
        <v>33</v>
      </c>
    </row>
    <row r="23" spans="1:6" x14ac:dyDescent="0.3">
      <c r="A23" s="67">
        <v>1938</v>
      </c>
      <c r="B23" s="7" t="s">
        <v>66</v>
      </c>
      <c r="C23" s="78">
        <v>3.5</v>
      </c>
      <c r="D23" s="117">
        <v>41283</v>
      </c>
      <c r="E23" s="156">
        <v>13.333333333333334</v>
      </c>
      <c r="F23" s="78">
        <v>35</v>
      </c>
    </row>
    <row r="24" spans="1:6" x14ac:dyDescent="0.3">
      <c r="A24" s="67">
        <v>1939</v>
      </c>
      <c r="B24" s="7" t="s">
        <v>70</v>
      </c>
      <c r="C24" s="78">
        <v>3.5</v>
      </c>
      <c r="D24" s="117">
        <v>45386</v>
      </c>
      <c r="E24" s="156">
        <v>13.636363636363635</v>
      </c>
      <c r="F24" s="78">
        <v>43.2</v>
      </c>
    </row>
    <row r="25" spans="1:6" x14ac:dyDescent="0.3">
      <c r="A25" s="67">
        <v>1940</v>
      </c>
      <c r="B25" s="7" t="s">
        <v>95</v>
      </c>
      <c r="C25" s="78">
        <v>3.7</v>
      </c>
      <c r="D25" s="117">
        <v>38875</v>
      </c>
      <c r="E25" s="156">
        <v>25</v>
      </c>
      <c r="F25" s="78">
        <v>43.8</v>
      </c>
    </row>
    <row r="26" spans="1:6" x14ac:dyDescent="0.3">
      <c r="A26" s="67">
        <v>1941</v>
      </c>
      <c r="B26" s="7" t="s">
        <v>77</v>
      </c>
      <c r="C26" s="78">
        <v>6.5</v>
      </c>
      <c r="D26" s="117">
        <v>12645</v>
      </c>
      <c r="E26" s="156">
        <v>9.67741935483871</v>
      </c>
      <c r="F26" s="78">
        <v>30.6</v>
      </c>
    </row>
    <row r="27" spans="1:6" x14ac:dyDescent="0.3">
      <c r="A27" s="67">
        <v>1942</v>
      </c>
      <c r="B27" s="7" t="s">
        <v>81</v>
      </c>
      <c r="C27" s="78">
        <v>5.9</v>
      </c>
      <c r="D27" s="117">
        <v>13613</v>
      </c>
      <c r="E27" s="156">
        <v>18.232044198895029</v>
      </c>
      <c r="F27" s="78">
        <v>37.6</v>
      </c>
    </row>
    <row r="28" spans="1:6" x14ac:dyDescent="0.3">
      <c r="A28" s="67">
        <v>1943</v>
      </c>
      <c r="B28" s="7" t="s">
        <v>84</v>
      </c>
      <c r="C28" s="78">
        <v>7.2</v>
      </c>
      <c r="D28" s="117">
        <v>15518</v>
      </c>
      <c r="E28" s="156">
        <v>12.5</v>
      </c>
      <c r="F28" s="78">
        <v>44.6</v>
      </c>
    </row>
    <row r="29" spans="1:6" x14ac:dyDescent="0.3">
      <c r="A29" s="157" t="s">
        <v>175</v>
      </c>
      <c r="B29" s="8" t="s">
        <v>88</v>
      </c>
      <c r="C29" s="104">
        <v>3.7</v>
      </c>
      <c r="D29" s="105">
        <v>33332</v>
      </c>
      <c r="E29" s="104">
        <v>25.9</v>
      </c>
      <c r="F29" s="104">
        <v>47.1</v>
      </c>
    </row>
    <row r="30" spans="1:6" x14ac:dyDescent="0.3">
      <c r="A30" s="67" t="s">
        <v>176</v>
      </c>
      <c r="B30" s="8" t="s">
        <v>176</v>
      </c>
      <c r="C30" s="16" t="s">
        <v>110</v>
      </c>
      <c r="D30" s="16" t="s">
        <v>110</v>
      </c>
      <c r="E30" s="16"/>
      <c r="F30" s="16" t="s">
        <v>110</v>
      </c>
    </row>
    <row r="31" spans="1:6" x14ac:dyDescent="0.3">
      <c r="A31" s="67" t="s">
        <v>177</v>
      </c>
      <c r="B31" s="8" t="s">
        <v>177</v>
      </c>
      <c r="C31" s="16" t="s">
        <v>110</v>
      </c>
      <c r="D31" s="16" t="s">
        <v>110</v>
      </c>
      <c r="E31" s="16" t="s">
        <v>110</v>
      </c>
      <c r="F31" s="16" t="s">
        <v>110</v>
      </c>
    </row>
    <row r="32" spans="1:6" s="76" customFormat="1" x14ac:dyDescent="0.3">
      <c r="A32" s="67" t="s">
        <v>377</v>
      </c>
      <c r="B32" s="8" t="s">
        <v>177</v>
      </c>
      <c r="C32" s="69"/>
      <c r="D32" s="69"/>
      <c r="E32" s="69"/>
      <c r="F32" s="69"/>
    </row>
    <row r="33" spans="1:6" x14ac:dyDescent="0.3">
      <c r="A33" s="67" t="s">
        <v>178</v>
      </c>
      <c r="B33" s="8" t="s">
        <v>178</v>
      </c>
      <c r="C33" s="16" t="s">
        <v>110</v>
      </c>
      <c r="D33" s="16" t="s">
        <v>110</v>
      </c>
      <c r="E33" s="16" t="s">
        <v>110</v>
      </c>
      <c r="F33" s="16" t="s">
        <v>110</v>
      </c>
    </row>
    <row r="34" spans="1:6" x14ac:dyDescent="0.3">
      <c r="A34" s="67" t="s">
        <v>179</v>
      </c>
      <c r="B34" s="8" t="s">
        <v>179</v>
      </c>
      <c r="C34" s="16" t="s">
        <v>110</v>
      </c>
      <c r="D34" s="16" t="s">
        <v>110</v>
      </c>
      <c r="E34" s="16" t="s">
        <v>110</v>
      </c>
      <c r="F34" s="16" t="s">
        <v>110</v>
      </c>
    </row>
    <row r="35" spans="1:6" x14ac:dyDescent="0.3">
      <c r="A35" s="67" t="s">
        <v>180</v>
      </c>
      <c r="B35" s="8" t="s">
        <v>180</v>
      </c>
      <c r="C35" s="16" t="s">
        <v>110</v>
      </c>
      <c r="D35" s="16" t="s">
        <v>110</v>
      </c>
      <c r="E35" s="16" t="s">
        <v>110</v>
      </c>
      <c r="F35" s="16" t="s">
        <v>110</v>
      </c>
    </row>
    <row r="36" spans="1:6" x14ac:dyDescent="0.3">
      <c r="A36" s="67" t="s">
        <v>181</v>
      </c>
      <c r="B36" s="8" t="s">
        <v>181</v>
      </c>
      <c r="C36" s="16" t="s">
        <v>110</v>
      </c>
      <c r="D36" s="16" t="s">
        <v>110</v>
      </c>
      <c r="E36" s="16" t="s">
        <v>110</v>
      </c>
      <c r="F36" s="16" t="s">
        <v>110</v>
      </c>
    </row>
    <row r="37" spans="1:6" x14ac:dyDescent="0.3">
      <c r="A37" s="67" t="s">
        <v>182</v>
      </c>
      <c r="B37" s="8" t="s">
        <v>182</v>
      </c>
      <c r="C37" s="16" t="s">
        <v>110</v>
      </c>
      <c r="D37" s="16" t="s">
        <v>110</v>
      </c>
      <c r="E37" s="16" t="s">
        <v>110</v>
      </c>
      <c r="F37" s="16" t="s">
        <v>110</v>
      </c>
    </row>
    <row r="38" spans="1:6" x14ac:dyDescent="0.3">
      <c r="A38" s="67" t="s">
        <v>378</v>
      </c>
      <c r="B38" s="8" t="s">
        <v>378</v>
      </c>
    </row>
  </sheetData>
  <pageMargins left="0.7" right="0.7" top="0.75" bottom="0.75" header="0.3" footer="0.3"/>
  <pageSetup paperSize="9" scale="80"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9">
    <pageSetUpPr fitToPage="1"/>
  </sheetPr>
  <dimension ref="A2:H38"/>
  <sheetViews>
    <sheetView workbookViewId="0">
      <selection activeCell="K33" sqref="K33"/>
    </sheetView>
  </sheetViews>
  <sheetFormatPr baseColWidth="10" defaultRowHeight="14.4" x14ac:dyDescent="0.3"/>
  <cols>
    <col min="1" max="1" width="22.88671875" bestFit="1" customWidth="1"/>
  </cols>
  <sheetData>
    <row r="2" spans="1:7" x14ac:dyDescent="0.3">
      <c r="C2" s="7">
        <v>2014</v>
      </c>
    </row>
    <row r="3" spans="1:7" s="68" customFormat="1" ht="100.8" x14ac:dyDescent="0.3">
      <c r="C3" s="17" t="s">
        <v>356</v>
      </c>
      <c r="D3" s="17" t="s">
        <v>357</v>
      </c>
      <c r="E3" s="17" t="s">
        <v>466</v>
      </c>
      <c r="F3" s="17" t="s">
        <v>358</v>
      </c>
      <c r="G3" s="81" t="s">
        <v>387</v>
      </c>
    </row>
    <row r="4" spans="1:7" x14ac:dyDescent="0.3">
      <c r="A4" s="67" t="s">
        <v>173</v>
      </c>
      <c r="B4" s="7" t="s">
        <v>174</v>
      </c>
      <c r="C4" s="78">
        <v>4.3</v>
      </c>
      <c r="D4" s="78">
        <v>4.8</v>
      </c>
      <c r="E4" s="78">
        <v>43806</v>
      </c>
      <c r="F4" s="165">
        <v>17.399999999999999</v>
      </c>
      <c r="G4" s="78">
        <v>4.0999999999999996</v>
      </c>
    </row>
    <row r="5" spans="1:7" x14ac:dyDescent="0.3">
      <c r="A5" s="67">
        <v>1902</v>
      </c>
      <c r="B5" s="7" t="s">
        <v>10</v>
      </c>
      <c r="C5" s="78">
        <v>3.8</v>
      </c>
      <c r="D5" s="78">
        <v>5</v>
      </c>
      <c r="E5" s="78">
        <v>57659</v>
      </c>
      <c r="F5" s="159">
        <v>21.909233176838811</v>
      </c>
      <c r="G5" s="160">
        <v>4.9000000000000004</v>
      </c>
    </row>
    <row r="6" spans="1:7" s="72" customFormat="1" x14ac:dyDescent="0.3">
      <c r="A6" s="67">
        <v>1903</v>
      </c>
      <c r="B6" s="8" t="s">
        <v>6</v>
      </c>
      <c r="C6" s="78">
        <v>4.2</v>
      </c>
      <c r="D6" s="78">
        <v>5</v>
      </c>
      <c r="E6" s="78">
        <v>53412</v>
      </c>
      <c r="F6" s="159">
        <v>10.548523206751055</v>
      </c>
      <c r="G6" s="160">
        <v>5.7</v>
      </c>
    </row>
    <row r="7" spans="1:7" x14ac:dyDescent="0.3">
      <c r="A7" s="67">
        <v>1911</v>
      </c>
      <c r="B7" s="7" t="s">
        <v>14</v>
      </c>
      <c r="C7" s="78">
        <v>7.3</v>
      </c>
      <c r="D7" s="78">
        <v>8.3000000000000007</v>
      </c>
      <c r="E7" s="78">
        <v>63358</v>
      </c>
      <c r="F7" s="159">
        <v>34.782608695652172</v>
      </c>
      <c r="G7" s="160">
        <v>7.2</v>
      </c>
    </row>
    <row r="8" spans="1:7" x14ac:dyDescent="0.3">
      <c r="A8" s="67">
        <v>1913</v>
      </c>
      <c r="B8" s="7" t="s">
        <v>18</v>
      </c>
      <c r="C8" s="78">
        <v>3.3</v>
      </c>
      <c r="D8" s="78">
        <v>4.9000000000000004</v>
      </c>
      <c r="E8" s="78">
        <v>77237</v>
      </c>
      <c r="F8" s="159">
        <v>47.619047619047613</v>
      </c>
      <c r="G8" s="160">
        <v>5.6</v>
      </c>
    </row>
    <row r="9" spans="1:7" x14ac:dyDescent="0.3">
      <c r="A9" s="67">
        <v>1917</v>
      </c>
      <c r="B9" s="7" t="s">
        <v>21</v>
      </c>
      <c r="C9" s="78">
        <v>10.5</v>
      </c>
      <c r="D9" s="78">
        <v>16.3</v>
      </c>
      <c r="E9" s="78">
        <v>1159</v>
      </c>
      <c r="F9" s="159">
        <v>43.75</v>
      </c>
      <c r="G9" s="160">
        <v>8.4</v>
      </c>
    </row>
    <row r="10" spans="1:7" x14ac:dyDescent="0.3">
      <c r="A10" s="67">
        <v>1919</v>
      </c>
      <c r="B10" s="7" t="s">
        <v>24</v>
      </c>
      <c r="C10" s="78">
        <v>9.9</v>
      </c>
      <c r="D10" s="78">
        <v>4.7</v>
      </c>
      <c r="E10" s="78">
        <v>39429</v>
      </c>
      <c r="F10" s="159">
        <v>54.54545454545454</v>
      </c>
      <c r="G10" s="160">
        <v>7.5</v>
      </c>
    </row>
    <row r="11" spans="1:7" x14ac:dyDescent="0.3">
      <c r="A11" s="67">
        <v>1920</v>
      </c>
      <c r="B11" s="7" t="s">
        <v>27</v>
      </c>
      <c r="C11" s="78">
        <v>9.6</v>
      </c>
      <c r="D11" s="78">
        <v>7.3</v>
      </c>
      <c r="E11" s="78">
        <v>0</v>
      </c>
      <c r="F11" s="159">
        <v>23.809523809523807</v>
      </c>
      <c r="G11" s="160">
        <v>7.8</v>
      </c>
    </row>
    <row r="12" spans="1:7" x14ac:dyDescent="0.3">
      <c r="A12" s="67">
        <v>1922</v>
      </c>
      <c r="B12" s="7" t="s">
        <v>30</v>
      </c>
      <c r="C12" s="78">
        <v>4.9000000000000004</v>
      </c>
      <c r="D12" s="78">
        <v>6.1</v>
      </c>
      <c r="E12" s="78">
        <v>48849</v>
      </c>
      <c r="F12" s="159">
        <v>20</v>
      </c>
      <c r="G12" s="160">
        <v>8.3000000000000007</v>
      </c>
    </row>
    <row r="13" spans="1:7" x14ac:dyDescent="0.3">
      <c r="A13" s="67">
        <v>1923</v>
      </c>
      <c r="B13" s="7" t="s">
        <v>34</v>
      </c>
      <c r="C13" s="78">
        <v>9.5</v>
      </c>
      <c r="D13" s="78">
        <v>15.2</v>
      </c>
      <c r="E13" s="78">
        <v>13161</v>
      </c>
      <c r="F13" s="159">
        <v>13.636363636363635</v>
      </c>
      <c r="G13" s="160">
        <v>12.4</v>
      </c>
    </row>
    <row r="14" spans="1:7" x14ac:dyDescent="0.3">
      <c r="A14" s="67">
        <v>1924</v>
      </c>
      <c r="B14" s="7" t="s">
        <v>36</v>
      </c>
      <c r="C14" s="78">
        <v>6.9</v>
      </c>
      <c r="D14" s="78">
        <v>6</v>
      </c>
      <c r="E14" s="78">
        <v>38980</v>
      </c>
      <c r="F14" s="159">
        <v>34.615384615384613</v>
      </c>
      <c r="G14" s="160">
        <v>5.6</v>
      </c>
    </row>
    <row r="15" spans="1:7" x14ac:dyDescent="0.3">
      <c r="A15" s="67">
        <v>1925</v>
      </c>
      <c r="B15" s="7" t="s">
        <v>39</v>
      </c>
      <c r="C15" s="78">
        <v>6</v>
      </c>
      <c r="D15" s="78">
        <v>7.9</v>
      </c>
      <c r="E15" s="78">
        <v>33207</v>
      </c>
      <c r="F15" s="159">
        <v>27.586206896551722</v>
      </c>
      <c r="G15" s="160">
        <v>5.0999999999999996</v>
      </c>
    </row>
    <row r="16" spans="1:7" x14ac:dyDescent="0.3">
      <c r="A16" s="67">
        <v>1926</v>
      </c>
      <c r="B16" s="7" t="s">
        <v>42</v>
      </c>
      <c r="C16" s="78">
        <v>4.0999999999999996</v>
      </c>
      <c r="D16" s="78">
        <v>8.1999999999999993</v>
      </c>
      <c r="E16" s="78">
        <v>44810</v>
      </c>
      <c r="F16" s="159">
        <v>25</v>
      </c>
      <c r="G16" s="160">
        <v>7.1</v>
      </c>
    </row>
    <row r="17" spans="1:8" x14ac:dyDescent="0.3">
      <c r="A17" s="67">
        <v>1927</v>
      </c>
      <c r="B17" s="7" t="s">
        <v>45</v>
      </c>
      <c r="C17" s="78">
        <v>7</v>
      </c>
      <c r="D17" s="78">
        <v>4.8</v>
      </c>
      <c r="E17" s="78">
        <v>25900</v>
      </c>
      <c r="F17" s="159">
        <v>86.956521739130437</v>
      </c>
      <c r="G17" s="160">
        <v>3.2</v>
      </c>
    </row>
    <row r="18" spans="1:8" x14ac:dyDescent="0.3">
      <c r="A18" s="67">
        <v>1928</v>
      </c>
      <c r="B18" s="7" t="s">
        <v>49</v>
      </c>
      <c r="C18" s="78">
        <v>6</v>
      </c>
      <c r="D18" s="78">
        <v>2.7</v>
      </c>
      <c r="E18" s="78">
        <v>48727</v>
      </c>
      <c r="F18" s="159">
        <v>11.111111111111111</v>
      </c>
      <c r="G18" s="160">
        <v>5.4</v>
      </c>
    </row>
    <row r="19" spans="1:8" x14ac:dyDescent="0.3">
      <c r="A19" s="67">
        <v>1929</v>
      </c>
      <c r="B19" s="7" t="s">
        <v>53</v>
      </c>
      <c r="C19" s="78">
        <v>7</v>
      </c>
      <c r="D19" s="78">
        <v>10.1</v>
      </c>
      <c r="E19" s="78">
        <v>26125</v>
      </c>
      <c r="F19" s="159">
        <v>54.54545454545454</v>
      </c>
      <c r="G19" s="160">
        <v>5.0999999999999996</v>
      </c>
    </row>
    <row r="20" spans="1:8" x14ac:dyDescent="0.3">
      <c r="A20" s="67">
        <v>1931</v>
      </c>
      <c r="B20" s="7" t="s">
        <v>56</v>
      </c>
      <c r="C20" s="78">
        <v>5.4</v>
      </c>
      <c r="D20" s="78">
        <v>5.3</v>
      </c>
      <c r="E20" s="78">
        <v>35631</v>
      </c>
      <c r="F20" s="159">
        <v>48.466257668711656</v>
      </c>
      <c r="G20" s="160">
        <v>4.5999999999999996</v>
      </c>
    </row>
    <row r="21" spans="1:8" x14ac:dyDescent="0.3">
      <c r="A21" s="67">
        <v>1933</v>
      </c>
      <c r="B21" s="7" t="s">
        <v>60</v>
      </c>
      <c r="C21" s="78">
        <v>8.5</v>
      </c>
      <c r="D21" s="78">
        <v>6.1</v>
      </c>
      <c r="E21" s="78">
        <v>24853</v>
      </c>
      <c r="F21" s="159">
        <v>26.923076923076923</v>
      </c>
      <c r="G21" s="160">
        <v>4.4000000000000004</v>
      </c>
    </row>
    <row r="22" spans="1:8" x14ac:dyDescent="0.3">
      <c r="A22" s="67">
        <v>1936</v>
      </c>
      <c r="B22" s="7" t="s">
        <v>62</v>
      </c>
      <c r="C22" s="78">
        <v>9.9</v>
      </c>
      <c r="D22" s="78">
        <v>9.4</v>
      </c>
      <c r="E22" s="78">
        <v>42932</v>
      </c>
      <c r="F22" s="159">
        <v>13.513513513513514</v>
      </c>
      <c r="G22" s="160">
        <v>8</v>
      </c>
    </row>
    <row r="23" spans="1:8" x14ac:dyDescent="0.3">
      <c r="A23" s="67">
        <v>1938</v>
      </c>
      <c r="B23" s="7" t="s">
        <v>66</v>
      </c>
      <c r="C23" s="78">
        <v>5.9</v>
      </c>
      <c r="D23" s="78">
        <v>5</v>
      </c>
      <c r="E23" s="78">
        <v>45787</v>
      </c>
      <c r="F23" s="159">
        <v>15.384615384615385</v>
      </c>
      <c r="G23" s="160">
        <v>4.5</v>
      </c>
    </row>
    <row r="24" spans="1:8" x14ac:dyDescent="0.3">
      <c r="A24" s="67">
        <v>1939</v>
      </c>
      <c r="B24" s="7" t="s">
        <v>70</v>
      </c>
      <c r="C24" s="78">
        <v>6.5</v>
      </c>
      <c r="D24" s="78">
        <v>8.1</v>
      </c>
      <c r="E24" s="78">
        <v>58838</v>
      </c>
      <c r="F24" s="159">
        <v>29.629629629629626</v>
      </c>
      <c r="G24" s="160">
        <v>8.1</v>
      </c>
    </row>
    <row r="25" spans="1:8" x14ac:dyDescent="0.3">
      <c r="A25" s="67">
        <v>1940</v>
      </c>
      <c r="B25" s="7" t="s">
        <v>95</v>
      </c>
      <c r="C25" s="78">
        <v>5</v>
      </c>
      <c r="D25" s="78">
        <v>5.5</v>
      </c>
      <c r="E25" s="78">
        <v>40088</v>
      </c>
      <c r="F25" s="159">
        <v>21.052631578947366</v>
      </c>
      <c r="G25" s="160">
        <v>6.6</v>
      </c>
    </row>
    <row r="26" spans="1:8" x14ac:dyDescent="0.3">
      <c r="A26" s="67">
        <v>1941</v>
      </c>
      <c r="B26" s="7" t="s">
        <v>77</v>
      </c>
      <c r="C26" s="78">
        <v>7.2</v>
      </c>
      <c r="D26" s="78">
        <v>8.6</v>
      </c>
      <c r="E26" s="78">
        <v>34320</v>
      </c>
      <c r="F26" s="159">
        <v>20.454545454545457</v>
      </c>
      <c r="G26" s="160">
        <v>6.6</v>
      </c>
    </row>
    <row r="27" spans="1:8" x14ac:dyDescent="0.3">
      <c r="A27" s="67">
        <v>1942</v>
      </c>
      <c r="B27" s="7" t="s">
        <v>81</v>
      </c>
      <c r="C27" s="78">
        <v>6.3</v>
      </c>
      <c r="D27" s="78">
        <v>6.8</v>
      </c>
      <c r="E27" s="78">
        <v>57020</v>
      </c>
      <c r="F27" s="159">
        <v>38.271604938271601</v>
      </c>
      <c r="G27" s="160">
        <v>5.7</v>
      </c>
    </row>
    <row r="28" spans="1:8" x14ac:dyDescent="0.3">
      <c r="A28" s="67">
        <v>1943</v>
      </c>
      <c r="B28" s="7" t="s">
        <v>84</v>
      </c>
      <c r="C28" s="78">
        <v>10.7</v>
      </c>
      <c r="D28" s="78">
        <v>10.7</v>
      </c>
      <c r="E28" s="78">
        <v>32111</v>
      </c>
      <c r="F28" s="159">
        <v>33.333333333333329</v>
      </c>
      <c r="G28" s="160">
        <v>6.7</v>
      </c>
    </row>
    <row r="29" spans="1:8" x14ac:dyDescent="0.3">
      <c r="A29" s="67" t="s">
        <v>175</v>
      </c>
      <c r="B29" s="8" t="s">
        <v>88</v>
      </c>
      <c r="C29" s="162">
        <v>5</v>
      </c>
      <c r="D29" s="162">
        <v>5.8</v>
      </c>
      <c r="E29" s="163">
        <v>46629</v>
      </c>
      <c r="F29" s="164">
        <v>29.5</v>
      </c>
      <c r="G29" s="78">
        <v>5.4</v>
      </c>
      <c r="H29" s="65" t="s">
        <v>389</v>
      </c>
    </row>
    <row r="30" spans="1:8" x14ac:dyDescent="0.3">
      <c r="A30" s="67" t="s">
        <v>176</v>
      </c>
      <c r="B30" s="69" t="s">
        <v>110</v>
      </c>
      <c r="C30" s="69" t="s">
        <v>110</v>
      </c>
      <c r="D30" s="69" t="s">
        <v>110</v>
      </c>
      <c r="E30" s="69" t="s">
        <v>110</v>
      </c>
      <c r="F30" s="69" t="s">
        <v>110</v>
      </c>
      <c r="G30" s="78">
        <v>4.4000000000000004</v>
      </c>
    </row>
    <row r="31" spans="1:8" x14ac:dyDescent="0.3">
      <c r="A31" s="67" t="s">
        <v>177</v>
      </c>
      <c r="B31" s="69" t="s">
        <v>110</v>
      </c>
      <c r="C31" s="69" t="s">
        <v>110</v>
      </c>
      <c r="D31" s="69" t="s">
        <v>110</v>
      </c>
      <c r="E31" s="69" t="s">
        <v>110</v>
      </c>
      <c r="F31" s="69" t="s">
        <v>110</v>
      </c>
      <c r="G31" s="78">
        <v>4.5999999999999996</v>
      </c>
    </row>
    <row r="32" spans="1:8" s="76" customFormat="1" x14ac:dyDescent="0.3">
      <c r="A32" s="67" t="s">
        <v>377</v>
      </c>
      <c r="B32" s="69" t="s">
        <v>110</v>
      </c>
      <c r="C32" s="69" t="s">
        <v>110</v>
      </c>
      <c r="D32" s="69" t="s">
        <v>110</v>
      </c>
      <c r="E32" s="69" t="s">
        <v>110</v>
      </c>
      <c r="F32" s="69" t="s">
        <v>110</v>
      </c>
      <c r="G32" s="78">
        <v>3.9</v>
      </c>
    </row>
    <row r="33" spans="1:7" x14ac:dyDescent="0.3">
      <c r="A33" s="67" t="s">
        <v>178</v>
      </c>
      <c r="B33" s="69" t="s">
        <v>110</v>
      </c>
      <c r="C33" s="69" t="s">
        <v>110</v>
      </c>
      <c r="D33" s="69" t="s">
        <v>110</v>
      </c>
      <c r="E33" s="69" t="s">
        <v>110</v>
      </c>
      <c r="F33" s="69" t="s">
        <v>110</v>
      </c>
      <c r="G33" s="78">
        <v>5</v>
      </c>
    </row>
    <row r="34" spans="1:7" x14ac:dyDescent="0.3">
      <c r="A34" s="67" t="s">
        <v>179</v>
      </c>
      <c r="B34" s="69" t="s">
        <v>110</v>
      </c>
      <c r="C34" s="69" t="s">
        <v>110</v>
      </c>
      <c r="D34" s="69" t="s">
        <v>110</v>
      </c>
      <c r="E34" s="69" t="s">
        <v>110</v>
      </c>
      <c r="F34" s="69" t="s">
        <v>110</v>
      </c>
      <c r="G34" s="78">
        <v>6.4</v>
      </c>
    </row>
    <row r="35" spans="1:7" x14ac:dyDescent="0.3">
      <c r="A35" s="67" t="s">
        <v>180</v>
      </c>
      <c r="B35" s="69" t="s">
        <v>110</v>
      </c>
      <c r="C35" s="69" t="s">
        <v>110</v>
      </c>
      <c r="D35" s="69" t="s">
        <v>110</v>
      </c>
      <c r="E35" s="69" t="s">
        <v>110</v>
      </c>
      <c r="F35" s="69" t="s">
        <v>110</v>
      </c>
      <c r="G35" s="78">
        <v>4.0999999999999996</v>
      </c>
    </row>
    <row r="36" spans="1:7" x14ac:dyDescent="0.3">
      <c r="A36" s="67" t="s">
        <v>181</v>
      </c>
      <c r="B36" s="69" t="s">
        <v>110</v>
      </c>
      <c r="C36" s="69" t="s">
        <v>110</v>
      </c>
      <c r="D36" s="69" t="s">
        <v>110</v>
      </c>
      <c r="E36" s="69" t="s">
        <v>110</v>
      </c>
      <c r="F36" s="69" t="s">
        <v>110</v>
      </c>
      <c r="G36" s="78">
        <v>4.7</v>
      </c>
    </row>
    <row r="37" spans="1:7" x14ac:dyDescent="0.3">
      <c r="A37" s="67" t="s">
        <v>182</v>
      </c>
      <c r="B37" s="69" t="s">
        <v>110</v>
      </c>
      <c r="C37" s="69" t="s">
        <v>110</v>
      </c>
      <c r="D37" s="69" t="s">
        <v>110</v>
      </c>
      <c r="E37" s="69" t="s">
        <v>110</v>
      </c>
      <c r="F37" s="69" t="s">
        <v>110</v>
      </c>
      <c r="G37" s="78">
        <v>4</v>
      </c>
    </row>
    <row r="38" spans="1:7" x14ac:dyDescent="0.3">
      <c r="A38" s="67" t="s">
        <v>378</v>
      </c>
      <c r="B38" s="69" t="s">
        <v>110</v>
      </c>
      <c r="C38" s="69" t="s">
        <v>110</v>
      </c>
      <c r="D38" s="69" t="s">
        <v>110</v>
      </c>
      <c r="E38" s="69" t="s">
        <v>110</v>
      </c>
      <c r="F38" s="69" t="s">
        <v>110</v>
      </c>
      <c r="G38" s="78">
        <v>5.5</v>
      </c>
    </row>
  </sheetData>
  <pageMargins left="0.7" right="0.7" top="0.75" bottom="0.75" header="0.3" footer="0.3"/>
  <pageSetup paperSize="9" scale="7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15</vt:i4>
      </vt:variant>
    </vt:vector>
  </HeadingPairs>
  <TitlesOfParts>
    <vt:vector size="15" baseType="lpstr">
      <vt:lpstr>Oppslag</vt:lpstr>
      <vt:lpstr>FAKTAARK</vt:lpstr>
      <vt:lpstr>Kommunedata</vt:lpstr>
      <vt:lpstr>Bef.prognose</vt:lpstr>
      <vt:lpstr>Øk. nøkkeltall</vt:lpstr>
      <vt:lpstr>Fordeling netto driftsutg.</vt:lpstr>
      <vt:lpstr>Pleie og omsorg</vt:lpstr>
      <vt:lpstr>Sosialtj.</vt:lpstr>
      <vt:lpstr>Barnevern</vt:lpstr>
      <vt:lpstr>Grunnskole</vt:lpstr>
      <vt:lpstr>BHG</vt:lpstr>
      <vt:lpstr>Bef.utv.</vt:lpstr>
      <vt:lpstr>Kommunegrupper</vt:lpstr>
      <vt:lpstr>Inntekter, årsverk, areal</vt:lpstr>
      <vt:lpstr>Behov</vt:lpstr>
    </vt:vector>
  </TitlesOfParts>
  <Company>Fylkesmannen i Troms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Tjeldflåt Asle</dc:creator>
  <cp:lastModifiedBy>May Tove Lilleng</cp:lastModifiedBy>
  <cp:lastPrinted>2015-09-02T17:46:57Z</cp:lastPrinted>
  <dcterms:created xsi:type="dcterms:W3CDTF">2012-06-12T08:50:36Z</dcterms:created>
  <dcterms:modified xsi:type="dcterms:W3CDTF">2015-09-03T09:44:53Z</dcterms:modified>
</cp:coreProperties>
</file>